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0_この表について" state="visible" r:id="rId4"/>
    <sheet sheetId="2" name="01_固定資産台帳" state="visible" r:id="rId5"/>
    <sheet sheetId="3" name="02_グルーピング表" state="visible" r:id="rId6"/>
    <sheet sheetId="4" name="03_兆候の判定" state="visible" r:id="rId7"/>
    <sheet sheetId="5" name="04_認識の判定（割引前）" state="visible" r:id="rId8"/>
    <sheet sheetId="6" name="05_回収可能価額の測定" state="visible" r:id="rId9"/>
    <sheet sheetId="7" name="06_構成資産への配分" state="visible" r:id="rId10"/>
    <sheet sheetId="8" name="07_共用資産（より大きな単位）" state="visible" r:id="rId11"/>
    <sheet sheetId="9" name="08_税効果" state="visible" r:id="rId12"/>
    <sheet sheetId="10" name="09_重要な判断の記録" state="visible" r:id="rId13"/>
    <sheet sheetId="11" name="10_検算" state="visible" r:id="rId14"/>
  </sheets>
  <calcPr calcId="171027"/>
</workbook>
</file>

<file path=xl/sharedStrings.xml><?xml version="1.0" encoding="utf-8"?>
<sst xmlns="http://schemas.openxmlformats.org/spreadsheetml/2006/main" count="554" uniqueCount="292">
  <si>
    <t>サンプル製造株式会社　固定資産の減損</t>
  </si>
  <si>
    <t>この表について</t>
  </si>
  <si>
    <t>単位：千円　／　黄＝入力　緑＝人が判断する箇所（AIが埋めてはいけない）　白＝Excelの数式</t>
  </si>
  <si>
    <t>項目</t>
  </si>
  <si>
    <t>内容</t>
  </si>
  <si>
    <t>基準本体</t>
  </si>
  <si>
    <t>「固定資産の減損に係る会計基準」および「同注解」（企業会計審議会、2002年（平成14年）8月9日公表）</t>
  </si>
  <si>
    <t>適用指針</t>
  </si>
  <si>
    <t>企業会計基準適用指針第6号「固定資産の減損に係る会計基準の適用指針」（2003年（平成15年）10月公表）</t>
  </si>
  <si>
    <t>一部改正</t>
  </si>
  <si>
    <t>企業会計基準第35号「『固定資産の減損に係る会計基準』の一部改正」（2024年9月13日公表）が注解（注12）を改正している。新リース基準に伴い、使用権資産または使用権資産を含む資産グループの減損を検討する際の帳簿価額の取扱いを手当てしたもの。</t>
  </si>
  <si>
    <t>⚠️ 番号の書き方</t>
  </si>
  <si>
    <t>⚠️ 基準本体には『企業会計基準第○号』の番号が無い。本体は企業会計審議会の公表物で、ASBJの号数体系の外にある。号数を引くなら『適用指針第6号』または『第35号（一部改正）』であり、『企業会計基準第○号（減損）』と書くのは誤り。</t>
  </si>
  <si>
    <t>⚠️ 未確認の事項</t>
  </si>
  <si>
    <t>⚠️ 適用指針第6号の最終改正日は一次資料で確定できていない（要確認）。ASBJのページに表示される『最終更新日』はページの更新日であって基準の改正日ではない。原文PDFの表紙で確認すること。</t>
  </si>
  <si>
    <t>⚠️ 既知の未連動</t>
  </si>
  <si>
    <r>
      <rPr>
        <color rgb="FF1A1A1F"/>
        <sz val="10"/>
        <rFont val="Yu Gothic"/>
      </rPr>
      <t>⚠️【キット間の連動：Y-296 で是正済み】本キットの固定資産台帳は、</t>
    </r>
    <r>
      <rPr>
        <b/>
        <color rgb="FF1A1A1F"/>
        <sz val="10"/>
        <rFont val="Yu Gothic"/>
      </rPr>
      <t>順序1（認識）の出力から導出</t>
    </r>
    <r>
      <rPr>
        <color rgb="FF1A1A1F"/>
        <sz val="10"/>
        <rFont val="Yu Gothic"/>
      </rPr>
      <t>している。①A-2010「第二工場 建物（使用権資産）」は新リース基準キットの使用権資産で置き換える②資産除去債務キットが第18号第18項で算定した</t>
    </r>
    <r>
      <rPr>
        <b/>
        <color rgb="FF1A1A1F"/>
        <sz val="10"/>
        <rFont val="Yu Gothic"/>
      </rPr>
      <t>期首の</t>
    </r>
    <r>
      <rPr>
        <color rgb="FF1A1A1F"/>
        <sz val="10"/>
        <rFont val="Yu Gothic"/>
      </rPr>
      <t>除去費用（償却後）を関連資産の取得原価に加算する（R-03の構築物 A-2040・R-04の太陽光発電設備 A-1050 は Y-296 で台帳に追加した）③資産グループの帳簿価額は構成資産の合計で組み直す。導出は src/lib/std/bridge.ts の deriveLedger() が行い、導出できない行があれば停止する。</t>
    </r>
    <r>
      <rPr>
        <b/>
        <color rgb="FF1A1A1F"/>
        <sz val="10"/>
        <rFont val="Yu Gothic"/>
      </rPr>
      <t>本キットの検算「✅すべてOK」は、ブック内で数式が閉じていることを担保する。キット間の整合は背骨（移行仕訳の背骨）の 03・08 で検知する。</t>
    </r>
    <r>
      <rPr>
        <color rgb="FF1A1A1F"/>
        <sz val="10"/>
        <rFont val="Yu Gothic"/>
      </rPr>
      <t xml:space="preserve"> ✅ 2026-09-09（Y-339）に回収可能価額の見積りを帳簿価額と同じ前提に揃えた。適用指針第6号 第61項（一次資料で確認）により、使用権資産を含む資産グループの将来キャッシュ・アウト・フローには将来の支払リース料を含めないため、G-02 とより大きな単位のキャッシュ・フローに C-002 の支払リース料を戻している。⚠️ 正味売却価額は使用権資産を単独で売却できないため従前どおり除いている。</t>
    </r>
  </si>
  <si>
    <t>決算日</t>
  </si>
  <si>
    <t>2026年3月31日</t>
  </si>
  <si>
    <t>計算の順序</t>
  </si>
  <si>
    <t>計算の順序は基準の構成に従う。①グルーピング → ②兆候の把握 → ③認識の判定（割引前将来キャッシュ・フロー）→ ④測定（回収可能価額）→ ⑤構成資産への配分 → ⑥共用資産を含むより大きな単位。</t>
  </si>
  <si>
    <t>⚠️ 最も多い誤り</t>
  </si>
  <si>
    <t>⚠️ 認識の判定（③）に割引率は登場しない。ここで割り引いてしまうのが最も多い誤りで、本来は認識しなくてよい資産グループまで減損を認識することになる。割り引くのは④の使用価値だけである。</t>
  </si>
  <si>
    <t>単位</t>
  </si>
  <si>
    <t>本パックの金額は全て千円。固定資産台帳の明細を扱うため。</t>
  </si>
  <si>
    <t>シート</t>
  </si>
  <si>
    <t>役割</t>
  </si>
  <si>
    <t>01_固定資産台帳</t>
  </si>
  <si>
    <t>会計簿価と税務簿価を並べる。減損は会計簿価に対して行う</t>
  </si>
  <si>
    <t>02_グルーピング表</t>
  </si>
  <si>
    <t>資産グループを決め、構成資産を割り当てる。未割当が無いことを確かめる</t>
  </si>
  <si>
    <t>03_兆候の判定</t>
  </si>
  <si>
    <t>兆候の有無を4つの観点で判定する</t>
  </si>
  <si>
    <t>04_認識の判定（割引前）</t>
  </si>
  <si>
    <t>⚠️ 割引前将来キャッシュ・フローで認識を判定する。このシートに割引率は無い</t>
  </si>
  <si>
    <t>05_回収可能価額の測定</t>
  </si>
  <si>
    <t>回収可能価額＝正味売却価額と使用価値のいずれか高い方</t>
  </si>
  <si>
    <t>06_構成資産への配分</t>
  </si>
  <si>
    <t>減損損失を構成資産へ配分する</t>
  </si>
  <si>
    <t>07_共用資産（より大きな単位）</t>
  </si>
  <si>
    <t>共用資産を含むより大きな単位での判定と、増加額の配分</t>
  </si>
  <si>
    <t>08_税効果</t>
  </si>
  <si>
    <t>減損損失に係る一時差異</t>
  </si>
  <si>
    <t>09_重要な判断の記録</t>
  </si>
  <si>
    <t>重要な判断の記録</t>
  </si>
  <si>
    <t>10_検算</t>
  </si>
  <si>
    <t>検算</t>
  </si>
  <si>
    <t>固定資産台帳（会計簿価と税務簿価）</t>
  </si>
  <si>
    <t>資産コード</t>
  </si>
  <si>
    <t>資産名</t>
  </si>
  <si>
    <t>資産グループ</t>
  </si>
  <si>
    <t>会計簿価</t>
  </si>
  <si>
    <t>税務簿価</t>
  </si>
  <si>
    <t>差額</t>
  </si>
  <si>
    <t>備考</t>
  </si>
  <si>
    <t>A-1010</t>
  </si>
  <si>
    <t>第一工場 建物</t>
  </si>
  <si>
    <t>G-01</t>
  </si>
  <si>
    <t>ARO R-01（アスベスト除去）の関連資産。第18項の期首の除去費用が導出で加算される（手入力しない） 除去費用 52727.64 を加算（AROキット R-01 から導出・第18項の償却後）</t>
  </si>
  <si>
    <t>A-1020</t>
  </si>
  <si>
    <t>第一工場 機械装置</t>
  </si>
  <si>
    <t>特別償却により税務簿価が会計簿価を上回る。⚠️ 太陽光発電設備 A-1050 を Y-296 で切り出した後の額</t>
  </si>
  <si>
    <t>A-1030</t>
  </si>
  <si>
    <t>第一工場 工具器具備品</t>
  </si>
  <si>
    <t/>
  </si>
  <si>
    <t>A-1040</t>
  </si>
  <si>
    <t>第一工場 土地</t>
  </si>
  <si>
    <t>A-1050</t>
  </si>
  <si>
    <t>太陽光発電設備</t>
  </si>
  <si>
    <t>ARO R-04（撤去・処分義務）の関連資産。Y-296 で主キー・台帳に追加（第一工場 機械装置から切り出し）。第18項の期首の除去費用が導出で加算される 除去費用 23734.09 を加算（AROキット R-04 から導出・第18項の償却後）</t>
  </si>
  <si>
    <t>A-2010</t>
  </si>
  <si>
    <t>第二工場 建物（賃借。使用権資産）</t>
  </si>
  <si>
    <t>G-02</t>
  </si>
  <si>
    <r>
      <rPr>
        <color rgb="FF1A1A1F"/>
        <sz val="10"/>
        <rFont val="Yu Gothic"/>
      </rPr>
      <t>⚠️ 新リース基準により計上した使用権資産。第35号による注解（注12）の改正が関係する箇所。</t>
    </r>
    <r>
      <rPr>
        <b/>
        <color rgb="FF1A1A1F"/>
        <sz val="10"/>
        <rFont val="Yu Gothic"/>
      </rPr>
      <t>金額はリースキット L-02 から導出する（手入力しない）</t>
    </r>
    <r>
      <rPr>
        <color rgb="FF1A1A1F"/>
        <sz val="10"/>
        <rFont val="Yu Gothic"/>
      </rPr>
      <t>。ここの0は導出前の仮置き リースキット L-02 から導出（手入力しない） 除去費用 21726.89 を加算（AROキット R-05 から導出・第18項の償却後）</t>
    </r>
  </si>
  <si>
    <t>A-2020</t>
  </si>
  <si>
    <t>第二工場 機械装置</t>
  </si>
  <si>
    <t>A-2030</t>
  </si>
  <si>
    <t>第二工場 工具器具備品</t>
  </si>
  <si>
    <t>A-2040</t>
  </si>
  <si>
    <t>第二工場 構築物</t>
  </si>
  <si>
    <t>ARO R-03（更地返還義務）の関連資産。Y-296 で台帳に追加。帳簿価額は0で、第18項の期首の除去費用が導出で加算される 除去費用 85656.87 を加算（AROキット R-03 から導出・第18項の償却後）</t>
  </si>
  <si>
    <t>A-3010</t>
  </si>
  <si>
    <t>物流センター 建物</t>
  </si>
  <si>
    <t>G-03</t>
  </si>
  <si>
    <t>⚠️ 賃借倉庫の造作（建物附属設備）A-3040 を Y-296 で切り出した後の額</t>
  </si>
  <si>
    <t>A-3020</t>
  </si>
  <si>
    <t>物流センター 土地</t>
  </si>
  <si>
    <t>A-3030</t>
  </si>
  <si>
    <t>物流センター 機械装置（自動倉庫）</t>
  </si>
  <si>
    <t>A-3040</t>
  </si>
  <si>
    <t>賃借倉庫の造作（建物附属設備）</t>
  </si>
  <si>
    <t>ARO R-02（原状回復義務）の関連資産。Y-296 で台帳に追加（物流センター 建物から切り出し）。第18項の期首の除去費用が導出で加算される 除去費用 16888.39 を加算（AROキット R-02 から導出・第18項の償却後）</t>
  </si>
  <si>
    <t>A-4010</t>
  </si>
  <si>
    <t>旧第三工場 土地</t>
  </si>
  <si>
    <t>G-04</t>
  </si>
  <si>
    <t>S-01</t>
  </si>
  <si>
    <t>本社建物および基幹システム</t>
  </si>
  <si>
    <t>共用</t>
  </si>
  <si>
    <t>全社に共通して使用する資産で、単独ではキャッシュ・フローを生まない。より大きな単位（第一工場・第二工場・物流センター＋本社）でグルーピングして判定する。⚠️ 遊休不動産（G-04）は事業に供していないためより大きな単位に含めない。</t>
  </si>
  <si>
    <t>合計</t>
  </si>
  <si>
    <t>減損は会計簿価に対して行う。税務簿価との差額は、減損後に生じる一時差異の把握に使う（08_税効果）。移行時は、税務基準で組んでいた台帳を会計基準に組み替えるところから始まる（圧縮記帳・特別償却の戻し、少額資産の扱い、耐用年数の見直し）。</t>
  </si>
  <si>
    <t>資産のグルーピング</t>
  </si>
  <si>
    <t>ID</t>
  </si>
  <si>
    <t>帳簿価額（台帳から集計）</t>
  </si>
  <si>
    <t>経済的残存使用年数</t>
  </si>
  <si>
    <t>より大きな単位</t>
  </si>
  <si>
    <t>構成資産の数</t>
  </si>
  <si>
    <t>第一工場（主力製品ライン）</t>
  </si>
  <si>
    <t>含める</t>
  </si>
  <si>
    <t>第二工場（受託加工）</t>
  </si>
  <si>
    <t>物流センター</t>
  </si>
  <si>
    <t>遊休不動産（旧第三工場跡地）</t>
  </si>
  <si>
    <t>含めない</t>
  </si>
  <si>
    <t>事業に供しておらず共用資産の便益を受けていないため、より大きな単位に含めない</t>
  </si>
  <si>
    <t>資産グループ計</t>
  </si>
  <si>
    <t>本社建物および基幹システム（共用資産）</t>
  </si>
  <si>
    <t>台帳との差（0になること）</t>
  </si>
  <si>
    <t>⚠️ 資産グループは「他の資産または資産グループのキャッシュ・フローから概ね独立したキャッシュ・フローを生み出す最小の単位」で決める。単位を大きくまとめるほど、赤字の事業が黒字の事業に吸収されて減損が出なくなる。ここは判断であり、その理由を 09_重要な判断の記録 に残すこと。</t>
  </si>
  <si>
    <t>減損の兆候の判定</t>
  </si>
  <si>
    <t>①営業損益</t>
  </si>
  <si>
    <t>②使用範囲</t>
  </si>
  <si>
    <t>③経営環境</t>
  </si>
  <si>
    <t>④市場価格</t>
  </si>
  <si>
    <t>兆候の有無</t>
  </si>
  <si>
    <t>判定の根拠</t>
  </si>
  <si>
    <t>—</t>
  </si>
  <si>
    <t>P1：営業損益は3期連続で黒字 ／ P2：使用範囲・方法に著しい変化なし ／ P3：主要顧客の受注は横ばい ／ P4：土地の路線価は前年比 △2%で著しい下落に当たらない</t>
  </si>
  <si>
    <t>該当</t>
  </si>
  <si>
    <t>P1：営業損益が2期連続でマイナス（前々期 △38,000／前期 △52,000）。当期見込も △21,000 でマイナス ／ P3：主要委託元が内製化方針を公表し、次期以降の受注が段階的に減少する見込み</t>
  </si>
  <si>
    <t>P1：全社の物流機能を担っており単独の営業損益は把握していない ／ P2：変化なし ／ P3：変化なし ／ P4：路線価は前年比 +1%</t>
  </si>
  <si>
    <t>P2：2024年に操業を停止し、以後遊休状態にある ／ P4：路線価が取得時から45%下落。地価公示も同水準の下落</t>
  </si>
  <si>
    <t>兆候ありの件数</t>
  </si>
  <si>
    <t>①〜④（緑）は人が判断する箇所。①営業活動から生ずる損益またはキャッシュ・フローが継続してマイナス／②使用範囲または方法について回収可能価額を著しく低下させる変化／③経営環境の著しい悪化／④市場価格の著しい下落。</t>
  </si>
  <si>
    <t>⚠️ ①の「継続して」は概ね過去2期。ただし当期の見込がプラスで、かつそれが一時的でないと判断できる場合は該当しないとする扱いもある。判断の根拠を必ず書くこと。</t>
  </si>
  <si>
    <t>減損損失の認識の判定（割引前将来キャッシュ・フロー）</t>
  </si>
  <si>
    <t>⚠️ このシートに割引率のセルは置いていない。認識の判定は「割引前」で行う。ここで割り引くと、本来は認識しなくてよい資産グループまで減損を計上することになる。割引率が現れるのは 05_回収可能価額の測定 だけである。</t>
  </si>
  <si>
    <t>1年目</t>
  </si>
  <si>
    <t>2年目</t>
  </si>
  <si>
    <t>3年目</t>
  </si>
  <si>
    <t>4年目</t>
  </si>
  <si>
    <t>5年目</t>
  </si>
  <si>
    <t>6年目</t>
  </si>
  <si>
    <t>7年目</t>
  </si>
  <si>
    <t>8年目</t>
  </si>
  <si>
    <t>9年目</t>
  </si>
  <si>
    <t>10年目</t>
  </si>
  <si>
    <t>11年目</t>
  </si>
  <si>
    <t>12年目</t>
  </si>
  <si>
    <t>13年目</t>
  </si>
  <si>
    <t>14年目</t>
  </si>
  <si>
    <t>15年目</t>
  </si>
  <si>
    <t>16年目</t>
  </si>
  <si>
    <t>17年目</t>
  </si>
  <si>
    <t>18年目</t>
  </si>
  <si>
    <t>19年目</t>
  </si>
  <si>
    <t>20年目</t>
  </si>
  <si>
    <t>期間末の回収可能価額</t>
  </si>
  <si>
    <t>割引前CF総額</t>
  </si>
  <si>
    <t>帳簿価額</t>
  </si>
  <si>
    <t>認識</t>
  </si>
  <si>
    <t>余裕率</t>
  </si>
  <si>
    <t>見積期間は、主要な資産の経済的残存使用年数と20年のいずれか短い方。20年を超える場合は20年経過時点の回収可能価額を「期間末の回収可能価額」に置く。</t>
  </si>
  <si>
    <t>⚠️ 兆候が無い資産グループは判定に進まない（「判定不要」）。ただし兆候の把握そのものは全ての資産グループについて行う。</t>
  </si>
  <si>
    <t>回収可能価額の測定</t>
  </si>
  <si>
    <t>正味売却価額</t>
  </si>
  <si>
    <t>正味売却価額の根拠</t>
  </si>
  <si>
    <t>割引率</t>
  </si>
  <si>
    <t>使用価値</t>
  </si>
  <si>
    <t>回収可能価額</t>
  </si>
  <si>
    <t>採用した方</t>
  </si>
  <si>
    <t>減損損失</t>
  </si>
  <si>
    <t>不動産鑑定評価（土地建物）＋機械装置の中古市場価格。処分費用見込額を控除</t>
  </si>
  <si>
    <t>機械装置・工具器具備品の中古市場価格から処分費用見込額を控除。使用権資産は単独では売却できないため含めない</t>
  </si>
  <si>
    <t>不動産鑑定評価</t>
  </si>
  <si>
    <t>不動産鑑定評価 175,000 から処分費用見込額 7,000 を控除</t>
  </si>
  <si>
    <r>
      <rPr>
        <color rgb="FF8A8170"/>
        <sz val="9"/>
        <rFont val="Yu Gothic"/>
      </rPr>
      <t xml:space="preserve">回収可能価額は正味売却価額と使用価値のいずれか </t>
    </r>
    <r>
      <rPr>
        <b/>
        <color rgb="FF8A8170"/>
        <sz val="9"/>
        <rFont val="Yu Gothic"/>
      </rPr>
      <t>高い方</t>
    </r>
    <r>
      <rPr>
        <color rgb="FF8A8170"/>
        <sz val="9"/>
        <rFont val="Yu Gothic"/>
      </rPr>
      <t>（MAX）。低い方ではない。売るより使い続けた方が価値が高いなら使い続ける、というのが前提である。</t>
    </r>
  </si>
  <si>
    <t>⚠️ 割引率が現れるのはこのシートだけである。認識の判定（04）では割り引かない。</t>
  </si>
  <si>
    <t>【G-01 の割引率】当社の加重平均資本コストに資産グループ固有のリスクを加味した率</t>
  </si>
  <si>
    <t>【G-02 の割引率】第一工場より事業リスクが高いため上乗せ</t>
  </si>
  <si>
    <t>【G-03 の割引率】安定した稼働のため低め</t>
  </si>
  <si>
    <t>【G-04 の割引率】遊休のためキャッシュ・フローを生まず、正味売却価額が回収可能価額になる</t>
  </si>
  <si>
    <t>減損損失の構成資産への配分（帳簿価額比例）</t>
  </si>
  <si>
    <t>グループ</t>
  </si>
  <si>
    <t>配分率</t>
  </si>
  <si>
    <t>配分額</t>
  </si>
  <si>
    <t>配分後の帳簿価額</t>
  </si>
  <si>
    <t>05の減損損失合計との差（0になること）</t>
  </si>
  <si>
    <t>配分後の帳簿価額に負の値が無いか</t>
  </si>
  <si>
    <t>配分は帳簿価額比例が原則だが、他の合理的な方法によることもできる。土地に偏って配分されると、その後の償却費が減らず損益改善につながらないため、方法の選択には注意が要る。</t>
  </si>
  <si>
    <t>共用資産を含む「より大きな単位」</t>
  </si>
  <si>
    <t>金額</t>
  </si>
  <si>
    <t>説明</t>
  </si>
  <si>
    <t>より大きな単位の帳簿価額（減損控除前＋共用資産）</t>
  </si>
  <si>
    <r>
      <rPr>
        <color rgb="FF1A1A1F"/>
        <sz val="10"/>
        <rFont val="Yu Gothic"/>
      </rPr>
      <t>⚠️ 控除</t>
    </r>
    <r>
      <rPr>
        <b/>
        <color rgb="FF1A1A1F"/>
        <sz val="10"/>
        <rFont val="Yu Gothic"/>
      </rPr>
      <t>前</t>
    </r>
    <r>
      <rPr>
        <color rgb="FF1A1A1F"/>
        <sz val="10"/>
        <rFont val="Yu Gothic"/>
      </rPr>
      <t>の帳簿価額を使う。控除後を使うと増加額が過大になる</t>
    </r>
  </si>
  <si>
    <t>年度</t>
  </si>
  <si>
    <t>割引前CF</t>
  </si>
  <si>
    <t>現価係数</t>
  </si>
  <si>
    <t>現在価値</t>
  </si>
  <si>
    <t>使用価値の算定にのみ用いる</t>
  </si>
  <si>
    <t>認識の判定に使う（割引前）</t>
  </si>
  <si>
    <t>測定に使う（割引後）</t>
  </si>
  <si>
    <t>共用資産の正味売却価額と使用価値の高い方</t>
  </si>
  <si>
    <t>認識するか</t>
  </si>
  <si>
    <t>割引前CF総額 ＜ 帳簿価額 なら認識</t>
  </si>
  <si>
    <t>より大きな単位の減損損失</t>
  </si>
  <si>
    <t>各資産グループを単独で測定した減損損失の合計</t>
  </si>
  <si>
    <t>05から</t>
  </si>
  <si>
    <t>増加額（共用資産を加えたことによる）</t>
  </si>
  <si>
    <t>増加額の配分</t>
  </si>
  <si>
    <t>共用資産への配分の上限（帳簿価額−正味売却価額）</t>
  </si>
  <si>
    <t>共用資産は正味売却価額までしか下げられない</t>
  </si>
  <si>
    <t>共用資産への配分額</t>
  </si>
  <si>
    <t>上限を超える額</t>
  </si>
  <si>
    <t>各資産グループへ配分する候補</t>
  </si>
  <si>
    <t>各資産グループの配分余地</t>
  </si>
  <si>
    <t>減損控除後の帳簿価額</t>
  </si>
  <si>
    <t>配分余地</t>
  </si>
  <si>
    <t>G-01 第一工場（主力製品ライン）</t>
  </si>
  <si>
    <t>G-02 第二工場（受託加工）</t>
  </si>
  <si>
    <t>G-03 物流センター</t>
  </si>
  <si>
    <t>配分余地の合計</t>
  </si>
  <si>
    <t>各資産グループへ実際に配分できる額</t>
  </si>
  <si>
    <t>配分余地を超えては配分できない</t>
  </si>
  <si>
    <t>⚠️ 配分しきれなかった額</t>
  </si>
  <si>
    <t>各資産グループを自らの回収可能価額より下げられないために残る額。計上されない</t>
  </si>
  <si>
    <t>計上する減損損失の合計</t>
  </si>
  <si>
    <t>＝各グループ単独の合計＋共用資産への配分＋各グループへ配分できた超過額</t>
  </si>
  <si>
    <r>
      <rPr>
        <color rgb="FF8A8170"/>
        <sz val="9"/>
        <rFont val="Yu Gothic"/>
      </rPr>
      <t>【より大きな単位】より大きな単位の帳簿価額は、各資産グループの</t>
    </r>
    <r>
      <rPr>
        <b/>
        <color rgb="FF8A8170"/>
        <sz val="9"/>
        <rFont val="Yu Gothic"/>
      </rPr>
      <t>減損控除前</t>
    </r>
    <r>
      <rPr>
        <color rgb="FF8A8170"/>
        <sz val="9"/>
        <rFont val="Yu Gothic"/>
      </rPr>
      <t>の帳簿価額に共用資産の帳簿価額を加えたものである。控除後の帳簿価額を使うと増加額が過大になる。 本サンプルでは、第一工場と物流センターは単独では減損を認識しないが、共用資産（本社建物・基幹システム）の帳簿価額を加えたより大きな単位では割引前将来キャッシュ・フローが帳簿価額を下回り、減損損失が増加する。共用資産の減損はこの形で顕在化する。 ⚠️ より大きな単位のキャッシュ・フローも、G-02 と同じ前提（支払リース料の控除前）に揃えている（Y-339）。片方だけ賃料を戻すと、資産グループ単独の判定とより大きな単位の判定で前提が食い違い、増加額が意味を持たなくなる。</t>
    </r>
  </si>
  <si>
    <t>【増加額の配分】共用資産を加えたことにより増加した減損損失は、原則として共用資産に配分する。ただし共用資産の帳簿価額を正味売却価額まで下げる額が上限であり、超えた分は各資産グループへ配分する。</t>
  </si>
  <si>
    <t>⚠️ 超過額の配分に関する具体的な定めの項番は本サンプルでは確認していない（要確認）。ここでは「各資産グループを自らの回収可能価額より下げない」という保守的な扱いを採り、配分しきれない額を明示している。原文で確認して扱いを確定させること。</t>
  </si>
  <si>
    <t>計上する減損損失</t>
  </si>
  <si>
    <t>07から</t>
  </si>
  <si>
    <t>税務上の損金算入額</t>
  </si>
  <si>
    <t>減損損失は税務上は損金にならない</t>
  </si>
  <si>
    <t>将来減算一時差異</t>
  </si>
  <si>
    <t>減損後の会計簿価＜税務簿価</t>
  </si>
  <si>
    <t>実効税率</t>
  </si>
  <si>
    <t>⚠️ 税務上の取扱いは税理士の確認を要する</t>
  </si>
  <si>
    <t>繰延税金資産（回収可能性の判断前）</t>
  </si>
  <si>
    <t>回収可能性は企業の分類とスケジューリングにより判断する</t>
  </si>
  <si>
    <t>減損損失は税務上は損金にならないため、将来減算一時差異が生じる（減損後の会計簿価＜税務簿価）。その回収可能性は、企業の分類とスケジューリングにより判断する。⚠️ 土地に係る一時差異は売却の意思決定がない限りスケジューリングができない点に留意する。税務上の取扱いは税理士の確認を要する。</t>
  </si>
  <si>
    <t>⚠️ 土地に配分された減損損失は、売却の意思決定がない限りスケジューリングができない。償却資産に配分された分は減価償却を通じて解消するが、土地は解消時期が定まらないため、回収可能性の判断が分かれる。配分の方法（帳簿価額比例か否か）がここに効いてくる。</t>
  </si>
  <si>
    <t>論点</t>
  </si>
  <si>
    <t>採用した扱い</t>
  </si>
  <si>
    <t>そう判断した理由</t>
  </si>
  <si>
    <t>他の扱いを採った場合の影響</t>
  </si>
  <si>
    <t>決裁</t>
  </si>
  <si>
    <t>資産のグルーピングの単位</t>
  </si>
  <si>
    <t>工場別・物流センター・遊休不動産の4単位</t>
  </si>
  <si>
    <t>他の資産または資産グループのキャッシュ・フローから概ね独立したキャッシュ・フローを生み出す最小の単位として、管理会計上の損益把握単位と一致させた</t>
  </si>
  <si>
    <t>工場を1つの単位にまとめると、第二工場の減損は第一工場の収益力に吸収されて認識されない</t>
  </si>
  <si>
    <t>主要な資産の判定</t>
  </si>
  <si>
    <t>各工場は機械装置、物流センターは建物</t>
  </si>
  <si>
    <t>その資産グループのキャッシュ・フロー生成能力にとって最も重要な構成資産であるため</t>
  </si>
  <si>
    <t>主要な資産が変われば経済的残存使用年数が変わり、割引前将来キャッシュ・フローの見積期間が変わる</t>
  </si>
  <si>
    <t>共用資産の取扱い</t>
  </si>
  <si>
    <t>より大きな単位でグルーピングする方法</t>
  </si>
  <si>
    <t>本社建物・基幹システムは全社に共通して使用しており、合理的な配分基準を見出しがたいため</t>
  </si>
  <si>
    <t>共用資産の帳簿価額を各資産グループに配分する方法を採ると、配分基準の妥当性が争点になる</t>
  </si>
  <si>
    <t>遊休不動産をより大きな単位に含めるか</t>
  </si>
  <si>
    <t>事業に供しておらず、共用資産の便益を受けていないため</t>
  </si>
  <si>
    <t>含めると、遊休不動産の減損が事業用資産の収益力で相殺されうる</t>
  </si>
  <si>
    <t>使用権資産の帳簿価額の扱い</t>
  </si>
  <si>
    <t>第35号による注解（注12）の改正を踏まえて検討する</t>
  </si>
  <si>
    <t>第二工場の建物は賃借であり、新リース基準により使用権資産として計上している</t>
  </si>
  <si>
    <t>⚠️ 具体的な取扱いは第35号および注解（注12）の原文で確認すること。本サンプルは論点の所在を示すに留める</t>
  </si>
  <si>
    <t>⚠️ 減損は判断の塊である。グルーピングの単位・兆候の該当性・事業計画の合理性・割引率・配分方法のいずれも、変えれば答えが変わる。数字より先にこの紙を作ること。</t>
  </si>
  <si>
    <t>確認事項</t>
  </si>
  <si>
    <t>判定</t>
  </si>
  <si>
    <t>見るべき箇所</t>
  </si>
  <si>
    <t>グルーピング表の合計 ＝ 固定資産台帳の合計</t>
  </si>
  <si>
    <t>02</t>
  </si>
  <si>
    <t>構成資産への配分額の合計 ＝ 05の減損損失合計</t>
  </si>
  <si>
    <t>06</t>
  </si>
  <si>
    <t>共用資産への配分 ＋ 超過額 ＝ 増加額</t>
  </si>
  <si>
    <t>07</t>
  </si>
  <si>
    <t>共用資産への配分 ≦ 上限（帳簿価額−正味売却価額）</t>
  </si>
  <si>
    <t>04_認識の判定に割引率のセルが無いこと</t>
  </si>
  <si>
    <t>目視</t>
  </si>
  <si>
    <t>04（設計上、割引率の入力欄を置いていない）</t>
  </si>
  <si>
    <t>全体判定</t>
  </si>
  <si>
    <r>
      <rPr>
        <color rgb="FF8A8170"/>
        <sz val="9"/>
        <rFont val="Yu Gothic"/>
      </rPr>
      <t>⚠️ この判定が担保するのは「このブックの中で数式が閉じていること」だけである。</t>
    </r>
    <r>
      <rPr>
        <b/>
        <color rgb="FF8A8170"/>
        <sz val="9"/>
        <rFont val="Yu Gothic"/>
      </rPr>
      <t>他のキットとの整合は担保していない。</t>
    </r>
    <r>
      <rPr>
        <color rgb="FF8A8170"/>
        <sz val="9"/>
        <rFont val="Yu Gothic"/>
      </rPr>
      <t xml:space="preserve"> 固定資産台帳の使用権資産・除去費用は、順序1（認識）の出力から</t>
    </r>
    <r>
      <rPr>
        <b/>
        <color rgb="FF8A8170"/>
        <sz val="9"/>
        <rFont val="Yu Gothic"/>
      </rPr>
      <t>導出</t>
    </r>
    <r>
      <rPr>
        <color rgb="FF8A8170"/>
        <sz val="9"/>
        <rFont val="Yu Gothic"/>
      </rPr>
      <t>して流し込んでいる（Y-296。00シートの「既知の未連動」を参照）。導出が正しく効いているかは背骨の 03_母集団の穴あき検知 と 08_未解決事項 で見る。検算が緑であることと、数値が正しいことは別である。</t>
    </r>
  </si>
  <si>
    <t>・グルーピング表の帳簿価額の合計 ＝ 固定資産台帳の合計（未割当が0であること）</t>
  </si>
  <si>
    <t>・兆候ありの件数 ＝ 認識判定表の行数</t>
  </si>
  <si>
    <t>・認識ありの件数 ＝ 測定表の行数</t>
  </si>
  <si>
    <t>・⚠️ 認識判定（割引前）に割引率のセルが無いこと</t>
  </si>
  <si>
    <t>・回収可能価額 ＝ MAX(正味売却価額, 使用価値)</t>
  </si>
  <si>
    <t>・構成資産への配分額の合計 ＝ 資産グループの減損損失</t>
  </si>
  <si>
    <t>・配分後の帳簿価額の合計 ＝ 回収可能価額</t>
  </si>
  <si>
    <t>・配分後の帳簿価額が負になっていないこと</t>
  </si>
  <si>
    <t>・共用資産への配分額 ＋ 超過額の各グループへの配分 ＝ 増加額</t>
  </si>
  <si>
    <t>・共用資産への配分額 ≦ 帳簿価額 − 正味売却価額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</si>
</sst>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0000"/>
  </numFmts>
  <fonts count="5" x14ac:knownFonts="1">
    <font>
      <color theme="1"/>
      <family val="2"/>
      <scheme val="minor"/>
      <sz val="11"/>
      <name val="Calibri"/>
    </font>
    <font>
      <b/>
      <color rgb="FF1A1A1F"/>
      <sz val="10"/>
      <name val="Yu Gothic"/>
    </font>
    <font>
      <color rgb="FF8A8170"/>
      <sz val="9"/>
      <name val="Yu Gothic"/>
    </font>
    <font>
      <color rgb="FF1A1A1F"/>
      <sz val="10"/>
      <name val="Yu Gothic"/>
    </font>
    <font>
      <b/>
      <color rgb="FFB03030"/>
      <sz val="10"/>
      <name val="Yu Gothic"/>
    </font>
  </fonts>
  <fills count="6">
    <fill>
      <patternFill patternType="none"/>
    </fill>
    <fill>
      <patternFill patternType="gray125"/>
    </fill>
    <fill>
      <patternFill patternType="solid">
        <fgColor rgb="FFECE4D2"/>
      </patternFill>
    </fill>
    <fill>
      <patternFill patternType="solid">
        <fgColor rgb="FFFFF2B8"/>
      </patternFill>
    </fill>
    <fill>
      <patternFill patternType="solid">
        <fgColor rgb="FFE8EFEA"/>
      </patternFill>
    </fill>
    <fill>
      <patternFill patternType="solid">
        <fgColor rgb="FFDCEFE0"/>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21">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vertical="center" wrapText="1"/>
    </xf>
    <xf numFmtId="0" fontId="3" fillId="0" borderId="1" xfId="0" applyFont="1" applyBorder="1" applyAlignment="1">
      <alignment vertical="center" wrapText="1"/>
    </xf>
    <xf numFmtId="164" fontId="3" fillId="3" borderId="1" xfId="0" applyNumberFormat="1" applyFont="1" applyFill="1" applyBorder="1" applyAlignment="1">
      <alignment horizontal="right" vertical="center" wrapText="1"/>
    </xf>
    <xf numFmtId="164" fontId="3" fillId="0" borderId="1" xfId="0" applyNumberFormat="1" applyFont="1" applyBorder="1" applyAlignment="1">
      <alignment horizontal="right" vertical="center" wrapText="1"/>
    </xf>
    <xf numFmtId="0" fontId="1" fillId="4" borderId="1" xfId="0" applyFont="1" applyFill="1" applyBorder="1" applyAlignment="1">
      <alignment vertical="center" wrapText="1"/>
    </xf>
    <xf numFmtId="164" fontId="1" fillId="4" borderId="1" xfId="0" applyNumberFormat="1" applyFont="1" applyFill="1" applyBorder="1" applyAlignment="1">
      <alignment horizontal="right" vertical="center" wrapText="1"/>
    </xf>
    <xf numFmtId="0" fontId="2" fillId="0" borderId="0" xfId="0" applyFont="1" applyAlignment="1">
      <alignment vertical="top" wrapText="1"/>
    </xf>
    <xf numFmtId="3" fontId="3" fillId="3" borderId="1" xfId="0" applyNumberFormat="1" applyFont="1" applyFill="1" applyBorder="1" applyAlignment="1">
      <alignment horizontal="right" vertical="center" wrapText="1"/>
    </xf>
    <xf numFmtId="0" fontId="3" fillId="5" borderId="1" xfId="0" applyFont="1" applyFill="1" applyBorder="1" applyAlignment="1">
      <alignment vertical="center" wrapText="1"/>
    </xf>
    <xf numFmtId="3" fontId="3" fillId="0" borderId="1" xfId="0" applyNumberFormat="1" applyFont="1" applyBorder="1" applyAlignment="1">
      <alignment horizontal="right" vertical="center" wrapText="1"/>
    </xf>
    <xf numFmtId="3" fontId="1" fillId="4" borderId="1" xfId="0" applyNumberFormat="1" applyFont="1" applyFill="1" applyBorder="1" applyAlignment="1">
      <alignment horizontal="right" vertical="center" wrapText="1"/>
    </xf>
    <xf numFmtId="0" fontId="4" fillId="0" borderId="0" xfId="0" applyFont="1" applyAlignment="1">
      <alignment vertical="center" wrapText="1"/>
    </xf>
    <xf numFmtId="165" fontId="3" fillId="0" borderId="1" xfId="0" applyNumberFormat="1" applyFont="1" applyBorder="1" applyAlignment="1">
      <alignment horizontal="right" vertical="center" wrapText="1"/>
    </xf>
    <xf numFmtId="10" fontId="3" fillId="3" borderId="1" xfId="0" applyNumberFormat="1" applyFont="1" applyFill="1" applyBorder="1" applyAlignment="1">
      <alignment horizontal="right" vertical="center" wrapText="1"/>
    </xf>
    <xf numFmtId="166" fontId="3" fillId="0" borderId="1" xfId="0" applyNumberFormat="1" applyFont="1" applyBorder="1" applyAlignment="1">
      <alignment horizontal="right" vertical="center" wrapText="1"/>
    </xf>
    <xf numFmtId="0" fontId="3" fillId="4" borderId="1" xfId="0" applyFont="1" applyFill="1" applyBorder="1" applyAlignment="1">
      <alignment vertical="center" wrapText="1"/>
    </xf>
    <xf numFmtId="164" fontId="3" fillId="4" borderId="1" xfId="0" applyNumberFormat="1" applyFont="1" applyFill="1" applyBorder="1" applyAlignment="1">
      <alignment horizontal="right" vertical="center" wrapText="1"/>
    </xf>
    <xf numFmtId="0" fontId="3" fillId="3"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
  <sheetFormatPr defaultRowHeight="15" outlineLevelRow="0" outlineLevelCol="0" x14ac:dyDescent="55"/>
  <cols>
    <col min="1" max="1" width="26" customWidth="1"/>
    <col min="2" max="2" width="100" customWidth="1"/>
  </cols>
  <sheetData>
    <row r="1" spans="1:2" x14ac:dyDescent="0.25">
      <c r="A1" s="1" t="s">
        <v>0</v>
      </c>
      <c r="B1" s="1"/>
    </row>
    <row r="2" spans="1:2" x14ac:dyDescent="0.25">
      <c r="A2" s="1" t="s">
        <v>1</v>
      </c>
      <c r="B2" s="1"/>
    </row>
    <row r="3" spans="1:2" x14ac:dyDescent="0.25">
      <c r="A3" s="2" t="s">
        <v>2</v>
      </c>
      <c r="B3" s="2"/>
    </row>
    <row r="5" spans="1:2" x14ac:dyDescent="0.25">
      <c r="A5" s="3" t="s">
        <v>3</v>
      </c>
      <c r="B5" s="3" t="s">
        <v>4</v>
      </c>
    </row>
    <row r="6" spans="1:2" x14ac:dyDescent="0.25">
      <c r="A6" s="4" t="s">
        <v>5</v>
      </c>
      <c r="B6" s="4" t="s">
        <v>6</v>
      </c>
    </row>
    <row r="7" spans="1:2" x14ac:dyDescent="0.25">
      <c r="A7" s="4" t="s">
        <v>7</v>
      </c>
      <c r="B7" s="4" t="s">
        <v>8</v>
      </c>
    </row>
    <row r="8" spans="1:2" x14ac:dyDescent="0.25">
      <c r="A8" s="4" t="s">
        <v>9</v>
      </c>
      <c r="B8" s="4" t="s">
        <v>10</v>
      </c>
    </row>
    <row r="9" spans="1:2" x14ac:dyDescent="0.25">
      <c r="A9" s="4" t="s">
        <v>11</v>
      </c>
      <c r="B9" s="4" t="s">
        <v>12</v>
      </c>
    </row>
    <row r="10" spans="1:2" x14ac:dyDescent="0.25">
      <c r="A10" s="4" t="s">
        <v>13</v>
      </c>
      <c r="B10" s="4" t="s">
        <v>14</v>
      </c>
    </row>
    <row r="11" spans="1:2" x14ac:dyDescent="0.25">
      <c r="A11" s="4" t="s">
        <v>15</v>
      </c>
      <c r="B11" s="4" t="s">
        <v>16</v>
      </c>
    </row>
    <row r="12" spans="1:2" x14ac:dyDescent="0.25">
      <c r="A12" s="4" t="s">
        <v>17</v>
      </c>
      <c r="B12" s="4" t="s">
        <v>18</v>
      </c>
    </row>
    <row r="13" spans="1:2" x14ac:dyDescent="0.25">
      <c r="A13" s="4" t="s">
        <v>19</v>
      </c>
      <c r="B13" s="4" t="s">
        <v>20</v>
      </c>
    </row>
    <row r="14" spans="1:2" x14ac:dyDescent="0.25">
      <c r="A14" s="4" t="s">
        <v>21</v>
      </c>
      <c r="B14" s="4" t="s">
        <v>22</v>
      </c>
    </row>
    <row r="15" spans="1:2" x14ac:dyDescent="0.25">
      <c r="A15" s="4" t="s">
        <v>23</v>
      </c>
      <c r="B15" s="4" t="s">
        <v>24</v>
      </c>
    </row>
    <row r="17" spans="1:2" x14ac:dyDescent="0.25">
      <c r="A17" s="3" t="s">
        <v>25</v>
      </c>
      <c r="B17" s="3" t="s">
        <v>26</v>
      </c>
    </row>
    <row r="18" spans="1:2" x14ac:dyDescent="0.25">
      <c r="A18" s="4" t="s">
        <v>27</v>
      </c>
      <c r="B18" s="4" t="s">
        <v>28</v>
      </c>
    </row>
    <row r="19" spans="1:2" x14ac:dyDescent="0.25">
      <c r="A19" s="4" t="s">
        <v>29</v>
      </c>
      <c r="B19" s="4" t="s">
        <v>30</v>
      </c>
    </row>
    <row r="20" spans="1:2" x14ac:dyDescent="0.25">
      <c r="A20" s="4" t="s">
        <v>31</v>
      </c>
      <c r="B20" s="4" t="s">
        <v>32</v>
      </c>
    </row>
    <row r="21" spans="1:2" x14ac:dyDescent="0.25">
      <c r="A21" s="4" t="s">
        <v>33</v>
      </c>
      <c r="B21" s="4" t="s">
        <v>34</v>
      </c>
    </row>
    <row r="22" spans="1:2" x14ac:dyDescent="0.25">
      <c r="A22" s="4" t="s">
        <v>35</v>
      </c>
      <c r="B22" s="4" t="s">
        <v>36</v>
      </c>
    </row>
    <row r="23" spans="1:2" x14ac:dyDescent="0.25">
      <c r="A23" s="4" t="s">
        <v>37</v>
      </c>
      <c r="B23" s="4" t="s">
        <v>38</v>
      </c>
    </row>
    <row r="24" spans="1:2" x14ac:dyDescent="0.25">
      <c r="A24" s="4" t="s">
        <v>39</v>
      </c>
      <c r="B24" s="4" t="s">
        <v>40</v>
      </c>
    </row>
    <row r="25" spans="1:2" x14ac:dyDescent="0.25">
      <c r="A25" s="4" t="s">
        <v>41</v>
      </c>
      <c r="B25" s="4" t="s">
        <v>42</v>
      </c>
    </row>
    <row r="26" spans="1:2" x14ac:dyDescent="0.25">
      <c r="A26" s="4" t="s">
        <v>43</v>
      </c>
      <c r="B26" s="4" t="s">
        <v>44</v>
      </c>
    </row>
    <row r="27" spans="1:2" x14ac:dyDescent="0.25">
      <c r="A27" s="4" t="s">
        <v>45</v>
      </c>
      <c r="B27" s="4" t="s">
        <v>46</v>
      </c>
    </row>
  </sheetData>
  <mergeCells count="3">
    <mergeCell ref="A1:B1"/>
    <mergeCell ref="A2:B2"/>
    <mergeCell ref="A3:B3"/>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FormatPr defaultRowHeight="15" outlineLevelRow="0" outlineLevelCol="0" x14ac:dyDescent="55"/>
  <cols>
    <col min="1" max="2" width="30" customWidth="1"/>
    <col min="3" max="4" width="46" customWidth="1"/>
    <col min="5" max="5" width="14" customWidth="1"/>
  </cols>
  <sheetData>
    <row r="1" spans="1:5" x14ac:dyDescent="0.25">
      <c r="A1" s="1" t="s">
        <v>0</v>
      </c>
      <c r="B1" s="1"/>
      <c r="C1" s="1"/>
      <c r="D1" s="1"/>
      <c r="E1" s="1"/>
    </row>
    <row r="2" spans="1:5" x14ac:dyDescent="0.25">
      <c r="A2" s="1" t="s">
        <v>44</v>
      </c>
      <c r="B2" s="1"/>
      <c r="C2" s="1"/>
      <c r="D2" s="1"/>
      <c r="E2" s="1"/>
    </row>
    <row r="3" spans="1:5" x14ac:dyDescent="0.25">
      <c r="A3" s="2" t="s">
        <v>2</v>
      </c>
      <c r="B3" s="2"/>
      <c r="C3" s="2"/>
      <c r="D3" s="2"/>
      <c r="E3" s="2"/>
    </row>
    <row r="5" spans="1:5" x14ac:dyDescent="0.25">
      <c r="A5" s="3" t="s">
        <v>242</v>
      </c>
      <c r="B5" s="3" t="s">
        <v>243</v>
      </c>
      <c r="C5" s="3" t="s">
        <v>244</v>
      </c>
      <c r="D5" s="3" t="s">
        <v>245</v>
      </c>
      <c r="E5" s="3" t="s">
        <v>246</v>
      </c>
    </row>
    <row r="6" spans="1:5" x14ac:dyDescent="0.25">
      <c r="A6" s="4" t="s">
        <v>247</v>
      </c>
      <c r="B6" s="11" t="s">
        <v>248</v>
      </c>
      <c r="C6" s="11" t="s">
        <v>249</v>
      </c>
      <c r="D6" s="4" t="s">
        <v>250</v>
      </c>
      <c r="E6" s="20" t="s">
        <v>64</v>
      </c>
    </row>
    <row r="7" spans="1:5" x14ac:dyDescent="0.25">
      <c r="A7" s="4" t="s">
        <v>251</v>
      </c>
      <c r="B7" s="11" t="s">
        <v>252</v>
      </c>
      <c r="C7" s="11" t="s">
        <v>253</v>
      </c>
      <c r="D7" s="4" t="s">
        <v>254</v>
      </c>
      <c r="E7" s="20" t="s">
        <v>64</v>
      </c>
    </row>
    <row r="8" spans="1:5" x14ac:dyDescent="0.25">
      <c r="A8" s="4" t="s">
        <v>255</v>
      </c>
      <c r="B8" s="11" t="s">
        <v>256</v>
      </c>
      <c r="C8" s="11" t="s">
        <v>257</v>
      </c>
      <c r="D8" s="4" t="s">
        <v>258</v>
      </c>
      <c r="E8" s="20" t="s">
        <v>64</v>
      </c>
    </row>
    <row r="9" spans="1:5" x14ac:dyDescent="0.25">
      <c r="A9" s="4" t="s">
        <v>259</v>
      </c>
      <c r="B9" s="11" t="s">
        <v>112</v>
      </c>
      <c r="C9" s="11" t="s">
        <v>260</v>
      </c>
      <c r="D9" s="4" t="s">
        <v>261</v>
      </c>
      <c r="E9" s="20" t="s">
        <v>64</v>
      </c>
    </row>
    <row r="10" spans="1:5" x14ac:dyDescent="0.25">
      <c r="A10" s="4" t="s">
        <v>262</v>
      </c>
      <c r="B10" s="11" t="s">
        <v>263</v>
      </c>
      <c r="C10" s="11" t="s">
        <v>264</v>
      </c>
      <c r="D10" s="4" t="s">
        <v>265</v>
      </c>
      <c r="E10" s="20" t="s">
        <v>64</v>
      </c>
    </row>
    <row r="12" spans="1:5" x14ac:dyDescent="0.25">
      <c r="A12" s="9" t="s">
        <v>266</v>
      </c>
      <c r="B12" s="9"/>
      <c r="C12" s="9"/>
      <c r="D12" s="9"/>
      <c r="E12" s="9"/>
    </row>
  </sheetData>
  <mergeCells count="4">
    <mergeCell ref="A1:E1"/>
    <mergeCell ref="A2:E2"/>
    <mergeCell ref="A3:E3"/>
    <mergeCell ref="A12:E12"/>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FormatPr defaultRowHeight="15" outlineLevelRow="0" outlineLevelCol="0" x14ac:dyDescent="55"/>
  <cols>
    <col min="1" max="1" width="56" customWidth="1"/>
    <col min="2" max="2" width="18" customWidth="1"/>
    <col min="3" max="3" width="14" customWidth="1"/>
    <col min="4" max="4" width="44" customWidth="1"/>
  </cols>
  <sheetData>
    <row r="1" spans="1:4" x14ac:dyDescent="0.25">
      <c r="A1" s="1" t="s">
        <v>0</v>
      </c>
      <c r="B1" s="1"/>
      <c r="C1" s="1"/>
      <c r="D1" s="1"/>
    </row>
    <row r="2" spans="1:4" x14ac:dyDescent="0.25">
      <c r="A2" s="1" t="s">
        <v>46</v>
      </c>
      <c r="B2" s="1"/>
      <c r="C2" s="1"/>
      <c r="D2" s="1"/>
    </row>
    <row r="3" spans="1:4" x14ac:dyDescent="0.25">
      <c r="A3" s="2" t="s">
        <v>2</v>
      </c>
      <c r="B3" s="2"/>
      <c r="C3" s="2"/>
      <c r="D3" s="2"/>
    </row>
    <row r="5" spans="1:4" x14ac:dyDescent="0.25">
      <c r="A5" s="3" t="s">
        <v>267</v>
      </c>
      <c r="B5" s="3" t="s">
        <v>53</v>
      </c>
      <c r="C5" s="3" t="s">
        <v>268</v>
      </c>
      <c r="D5" s="3" t="s">
        <v>269</v>
      </c>
    </row>
    <row r="6" spans="1:4" x14ac:dyDescent="0.25">
      <c r="A6" s="4" t="s">
        <v>270</v>
      </c>
      <c r="B6" s="6">
        <f>'02_グルーピング表'!C13</f>
      </c>
      <c r="C6" s="4">
        <f>IF(ABS(B6)&lt;0.5,"OK","⚠️ NG")</f>
      </c>
      <c r="D6" s="4" t="s">
        <v>271</v>
      </c>
    </row>
    <row r="7" spans="1:4" x14ac:dyDescent="0.25">
      <c r="A7" s="4" t="s">
        <v>272</v>
      </c>
      <c r="B7" s="6">
        <f>'06_構成資産への配分'!F21</f>
      </c>
      <c r="C7" s="4">
        <f>IF(ABS(B7)&lt;0.5,"OK","⚠️ NG")</f>
      </c>
      <c r="D7" s="4" t="s">
        <v>273</v>
      </c>
    </row>
    <row r="8" spans="1:4" x14ac:dyDescent="0.25">
      <c r="A8" s="4" t="s">
        <v>274</v>
      </c>
      <c r="B8" s="6">
        <f>'07_共用資産（より大きな単位）'!B33+'07_共用資産（より大きな単位）'!B34-'07_共用資産（より大きな単位）'!B29</f>
      </c>
      <c r="C8" s="4">
        <f>IF(ABS(B8)&lt;0.5,"OK","⚠️ NG")</f>
      </c>
      <c r="D8" s="4" t="s">
        <v>275</v>
      </c>
    </row>
    <row r="9" spans="1:4" x14ac:dyDescent="0.25">
      <c r="A9" s="4" t="s">
        <v>276</v>
      </c>
      <c r="B9" s="6">
        <f>MAX(0,'07_共用資産（より大きな単位）'!B33-'07_共用資産（より大きな単位）'!B32)</f>
      </c>
      <c r="C9" s="4">
        <f>IF(ABS(B9)&lt;0.5,"OK","⚠️ NG")</f>
      </c>
      <c r="D9" s="4" t="s">
        <v>275</v>
      </c>
    </row>
    <row r="10" spans="1:4" x14ac:dyDescent="0.25">
      <c r="A10" s="4" t="s">
        <v>187</v>
      </c>
      <c r="B10" s="6">
        <f>MIN('06_構成資産への配分'!G6:G19)</f>
      </c>
      <c r="C10" s="4">
        <f>IF(MIN('06_構成資産への配分'!G6:G19)&lt;0,"⚠️ NG","OK")</f>
      </c>
      <c r="D10" s="4" t="s">
        <v>273</v>
      </c>
    </row>
    <row r="11" spans="1:4" x14ac:dyDescent="0.25">
      <c r="A11" s="4" t="s">
        <v>277</v>
      </c>
      <c r="B11" s="4" t="s">
        <v>125</v>
      </c>
      <c r="C11" s="4" t="s">
        <v>278</v>
      </c>
      <c r="D11" s="4" t="s">
        <v>279</v>
      </c>
    </row>
    <row r="13" spans="1:4" x14ac:dyDescent="0.25">
      <c r="A13" s="7" t="s">
        <v>280</v>
      </c>
      <c r="B13" s="7">
        <f>IF(COUNTIF(C6:C12,"⚠️ NG")=0,"✅ すべてOK","⚠️ NGあり")</f>
      </c>
      <c r="C13" s="7" t="s">
        <v>64</v>
      </c>
      <c r="D13" s="7" t="s">
        <v>64</v>
      </c>
    </row>
    <row r="15" spans="1:4" x14ac:dyDescent="0.25">
      <c r="A15" s="9" t="s">
        <v>281</v>
      </c>
      <c r="B15" s="9"/>
      <c r="C15" s="9"/>
      <c r="D15" s="9"/>
    </row>
    <row r="17" spans="1:4" x14ac:dyDescent="0.25">
      <c r="A17" s="9" t="s">
        <v>282</v>
      </c>
      <c r="B17" s="9"/>
      <c r="C17" s="9"/>
      <c r="D17" s="9"/>
    </row>
    <row r="18" spans="1:4" x14ac:dyDescent="0.25">
      <c r="A18" s="9" t="s">
        <v>283</v>
      </c>
      <c r="B18" s="9"/>
      <c r="C18" s="9"/>
      <c r="D18" s="9"/>
    </row>
    <row r="19" spans="1:4" x14ac:dyDescent="0.25">
      <c r="A19" s="9" t="s">
        <v>284</v>
      </c>
      <c r="B19" s="9"/>
      <c r="C19" s="9"/>
      <c r="D19" s="9"/>
    </row>
    <row r="20" spans="1:4" x14ac:dyDescent="0.25">
      <c r="A20" s="9" t="s">
        <v>285</v>
      </c>
      <c r="B20" s="9"/>
      <c r="C20" s="9"/>
      <c r="D20" s="9"/>
    </row>
    <row r="21" spans="1:4" x14ac:dyDescent="0.25">
      <c r="A21" s="9" t="s">
        <v>286</v>
      </c>
      <c r="B21" s="9"/>
      <c r="C21" s="9"/>
      <c r="D21" s="9"/>
    </row>
    <row r="22" spans="1:4" x14ac:dyDescent="0.25">
      <c r="A22" s="9" t="s">
        <v>287</v>
      </c>
      <c r="B22" s="9"/>
      <c r="C22" s="9"/>
      <c r="D22" s="9"/>
    </row>
    <row r="23" spans="1:4" x14ac:dyDescent="0.25">
      <c r="A23" s="9" t="s">
        <v>288</v>
      </c>
      <c r="B23" s="9"/>
      <c r="C23" s="9"/>
      <c r="D23" s="9"/>
    </row>
    <row r="24" spans="1:4" x14ac:dyDescent="0.25">
      <c r="A24" s="9" t="s">
        <v>289</v>
      </c>
      <c r="B24" s="9"/>
      <c r="C24" s="9"/>
      <c r="D24" s="9"/>
    </row>
    <row r="25" spans="1:4" x14ac:dyDescent="0.25">
      <c r="A25" s="9" t="s">
        <v>290</v>
      </c>
      <c r="B25" s="9"/>
      <c r="C25" s="9"/>
      <c r="D25" s="9"/>
    </row>
    <row r="26" spans="1:4" x14ac:dyDescent="0.25">
      <c r="A26" s="9" t="s">
        <v>291</v>
      </c>
      <c r="B26" s="9"/>
      <c r="C26" s="9"/>
      <c r="D26" s="9"/>
    </row>
  </sheetData>
  <mergeCells count="14">
    <mergeCell ref="A1:D1"/>
    <mergeCell ref="A2:D2"/>
    <mergeCell ref="A3:D3"/>
    <mergeCell ref="A15:D15"/>
    <mergeCell ref="A17:D17"/>
    <mergeCell ref="A18:D18"/>
    <mergeCell ref="A19:D19"/>
    <mergeCell ref="A20:D20"/>
    <mergeCell ref="A21:D21"/>
    <mergeCell ref="A22:D22"/>
    <mergeCell ref="A23:D23"/>
    <mergeCell ref="A24:D24"/>
    <mergeCell ref="A25:D25"/>
    <mergeCell ref="A26:D26"/>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FormatPr defaultRowHeight="15" outlineLevelRow="0" outlineLevelCol="0" x14ac:dyDescent="55"/>
  <cols>
    <col min="1" max="1" width="12" customWidth="1"/>
    <col min="2" max="2" width="34" customWidth="1"/>
    <col min="3" max="3" width="12" customWidth="1"/>
    <col min="4" max="6" width="14" customWidth="1"/>
    <col min="7" max="7" width="46" customWidth="1"/>
  </cols>
  <sheetData>
    <row r="1" spans="1:7" x14ac:dyDescent="0.25">
      <c r="A1" s="1" t="s">
        <v>0</v>
      </c>
      <c r="B1" s="1"/>
      <c r="C1" s="1"/>
      <c r="D1" s="1"/>
      <c r="E1" s="1"/>
      <c r="F1" s="1"/>
      <c r="G1" s="1"/>
    </row>
    <row r="2" spans="1:7" x14ac:dyDescent="0.25">
      <c r="A2" s="1" t="s">
        <v>47</v>
      </c>
      <c r="B2" s="1"/>
      <c r="C2" s="1"/>
      <c r="D2" s="1"/>
      <c r="E2" s="1"/>
      <c r="F2" s="1"/>
      <c r="G2" s="1"/>
    </row>
    <row r="3" spans="1:7" x14ac:dyDescent="0.25">
      <c r="A3" s="2" t="s">
        <v>2</v>
      </c>
      <c r="B3" s="2"/>
      <c r="C3" s="2"/>
      <c r="D3" s="2"/>
      <c r="E3" s="2"/>
      <c r="F3" s="2"/>
      <c r="G3" s="2"/>
    </row>
    <row r="5" spans="1:7" x14ac:dyDescent="0.25">
      <c r="A5" s="3" t="s">
        <v>48</v>
      </c>
      <c r="B5" s="3" t="s">
        <v>49</v>
      </c>
      <c r="C5" s="3" t="s">
        <v>50</v>
      </c>
      <c r="D5" s="3" t="s">
        <v>51</v>
      </c>
      <c r="E5" s="3" t="s">
        <v>52</v>
      </c>
      <c r="F5" s="3" t="s">
        <v>53</v>
      </c>
      <c r="G5" s="3" t="s">
        <v>54</v>
      </c>
    </row>
    <row r="6" spans="1:7" x14ac:dyDescent="0.25">
      <c r="A6" s="4" t="s">
        <v>55</v>
      </c>
      <c r="B6" s="4" t="s">
        <v>56</v>
      </c>
      <c r="C6" s="4" t="s">
        <v>57</v>
      </c>
      <c r="D6" s="5">
        <v>672727.64</v>
      </c>
      <c r="E6" s="5">
        <v>620000</v>
      </c>
      <c r="F6" s="6">
        <f>D6-E6</f>
      </c>
      <c r="G6" s="4" t="s">
        <v>58</v>
      </c>
    </row>
    <row r="7" spans="1:7" x14ac:dyDescent="0.25">
      <c r="A7" s="4" t="s">
        <v>59</v>
      </c>
      <c r="B7" s="4" t="s">
        <v>60</v>
      </c>
      <c r="C7" s="4" t="s">
        <v>57</v>
      </c>
      <c r="D7" s="5">
        <v>930000</v>
      </c>
      <c r="E7" s="5">
        <v>990000</v>
      </c>
      <c r="F7" s="6">
        <f>D7-E7</f>
      </c>
      <c r="G7" s="4" t="s">
        <v>61</v>
      </c>
    </row>
    <row r="8" spans="1:7" x14ac:dyDescent="0.25">
      <c r="A8" s="4" t="s">
        <v>62</v>
      </c>
      <c r="B8" s="4" t="s">
        <v>63</v>
      </c>
      <c r="C8" s="4" t="s">
        <v>57</v>
      </c>
      <c r="D8" s="5">
        <v>90000</v>
      </c>
      <c r="E8" s="5">
        <v>90000</v>
      </c>
      <c r="F8" s="6">
        <f>D8-E8</f>
      </c>
      <c r="G8" s="4" t="s">
        <v>64</v>
      </c>
    </row>
    <row r="9" spans="1:7" x14ac:dyDescent="0.25">
      <c r="A9" s="4" t="s">
        <v>65</v>
      </c>
      <c r="B9" s="4" t="s">
        <v>66</v>
      </c>
      <c r="C9" s="4" t="s">
        <v>57</v>
      </c>
      <c r="D9" s="5">
        <v>160000</v>
      </c>
      <c r="E9" s="5">
        <v>160000</v>
      </c>
      <c r="F9" s="6">
        <f>D9-E9</f>
      </c>
      <c r="G9" s="4" t="s">
        <v>64</v>
      </c>
    </row>
    <row r="10" spans="1:7" x14ac:dyDescent="0.25">
      <c r="A10" s="4" t="s">
        <v>67</v>
      </c>
      <c r="B10" s="4" t="s">
        <v>68</v>
      </c>
      <c r="C10" s="4" t="s">
        <v>57</v>
      </c>
      <c r="D10" s="5">
        <v>73734.09</v>
      </c>
      <c r="E10" s="5">
        <v>50000</v>
      </c>
      <c r="F10" s="6">
        <f>D10-E10</f>
      </c>
      <c r="G10" s="4" t="s">
        <v>69</v>
      </c>
    </row>
    <row r="11" spans="1:7" x14ac:dyDescent="0.25">
      <c r="A11" s="4" t="s">
        <v>70</v>
      </c>
      <c r="B11" s="4" t="s">
        <v>71</v>
      </c>
      <c r="C11" s="4" t="s">
        <v>72</v>
      </c>
      <c r="D11" s="5">
        <v>766872.31</v>
      </c>
      <c r="E11" s="5">
        <v>0</v>
      </c>
      <c r="F11" s="6">
        <f>D11-E11</f>
      </c>
      <c r="G11" s="4" t="s">
        <v>73</v>
      </c>
    </row>
    <row r="12" spans="1:7" x14ac:dyDescent="0.25">
      <c r="A12" s="4" t="s">
        <v>74</v>
      </c>
      <c r="B12" s="4" t="s">
        <v>75</v>
      </c>
      <c r="C12" s="4" t="s">
        <v>72</v>
      </c>
      <c r="D12" s="5">
        <v>540000</v>
      </c>
      <c r="E12" s="5">
        <v>560000</v>
      </c>
      <c r="F12" s="6">
        <f>D12-E12</f>
      </c>
      <c r="G12" s="4" t="s">
        <v>64</v>
      </c>
    </row>
    <row r="13" spans="1:7" x14ac:dyDescent="0.25">
      <c r="A13" s="4" t="s">
        <v>76</v>
      </c>
      <c r="B13" s="4" t="s">
        <v>77</v>
      </c>
      <c r="C13" s="4" t="s">
        <v>72</v>
      </c>
      <c r="D13" s="5">
        <v>120000</v>
      </c>
      <c r="E13" s="5">
        <v>120000</v>
      </c>
      <c r="F13" s="6">
        <f>D13-E13</f>
      </c>
      <c r="G13" s="4" t="s">
        <v>64</v>
      </c>
    </row>
    <row r="14" spans="1:7" x14ac:dyDescent="0.25">
      <c r="A14" s="4" t="s">
        <v>78</v>
      </c>
      <c r="B14" s="4" t="s">
        <v>79</v>
      </c>
      <c r="C14" s="4" t="s">
        <v>72</v>
      </c>
      <c r="D14" s="5">
        <v>85656.87</v>
      </c>
      <c r="E14" s="5">
        <v>0</v>
      </c>
      <c r="F14" s="6">
        <f>D14-E14</f>
      </c>
      <c r="G14" s="4" t="s">
        <v>80</v>
      </c>
    </row>
    <row r="15" spans="1:7" x14ac:dyDescent="0.25">
      <c r="A15" s="4" t="s">
        <v>81</v>
      </c>
      <c r="B15" s="4" t="s">
        <v>82</v>
      </c>
      <c r="C15" s="4" t="s">
        <v>83</v>
      </c>
      <c r="D15" s="5">
        <v>320000</v>
      </c>
      <c r="E15" s="5">
        <v>320000</v>
      </c>
      <c r="F15" s="6">
        <f>D15-E15</f>
      </c>
      <c r="G15" s="4" t="s">
        <v>84</v>
      </c>
    </row>
    <row r="16" spans="1:7" x14ac:dyDescent="0.25">
      <c r="A16" s="4" t="s">
        <v>85</v>
      </c>
      <c r="B16" s="4" t="s">
        <v>86</v>
      </c>
      <c r="C16" s="4" t="s">
        <v>83</v>
      </c>
      <c r="D16" s="5">
        <v>150000</v>
      </c>
      <c r="E16" s="5">
        <v>150000</v>
      </c>
      <c r="F16" s="6">
        <f>D16-E16</f>
      </c>
      <c r="G16" s="4" t="s">
        <v>64</v>
      </c>
    </row>
    <row r="17" spans="1:7" x14ac:dyDescent="0.25">
      <c r="A17" s="4" t="s">
        <v>87</v>
      </c>
      <c r="B17" s="4" t="s">
        <v>88</v>
      </c>
      <c r="C17" s="4" t="s">
        <v>83</v>
      </c>
      <c r="D17" s="5">
        <v>30000</v>
      </c>
      <c r="E17" s="5">
        <v>30000</v>
      </c>
      <c r="F17" s="6">
        <f>D17-E17</f>
      </c>
      <c r="G17" s="4" t="s">
        <v>64</v>
      </c>
    </row>
    <row r="18" spans="1:7" x14ac:dyDescent="0.25">
      <c r="A18" s="4" t="s">
        <v>89</v>
      </c>
      <c r="B18" s="4" t="s">
        <v>90</v>
      </c>
      <c r="C18" s="4" t="s">
        <v>83</v>
      </c>
      <c r="D18" s="5">
        <v>36888.39</v>
      </c>
      <c r="E18" s="5">
        <v>20000</v>
      </c>
      <c r="F18" s="6">
        <f>D18-E18</f>
      </c>
      <c r="G18" s="4" t="s">
        <v>91</v>
      </c>
    </row>
    <row r="19" spans="1:7" x14ac:dyDescent="0.25">
      <c r="A19" s="4" t="s">
        <v>92</v>
      </c>
      <c r="B19" s="4" t="s">
        <v>93</v>
      </c>
      <c r="C19" s="4" t="s">
        <v>94</v>
      </c>
      <c r="D19" s="5">
        <v>280000</v>
      </c>
      <c r="E19" s="5">
        <v>280000</v>
      </c>
      <c r="F19" s="6">
        <f>D19-E19</f>
      </c>
      <c r="G19" s="4" t="s">
        <v>64</v>
      </c>
    </row>
    <row r="20" spans="1:7" x14ac:dyDescent="0.25">
      <c r="A20" s="4" t="s">
        <v>95</v>
      </c>
      <c r="B20" s="4" t="s">
        <v>96</v>
      </c>
      <c r="C20" s="4" t="s">
        <v>97</v>
      </c>
      <c r="D20" s="5">
        <v>480000</v>
      </c>
      <c r="E20" s="5">
        <v>480000</v>
      </c>
      <c r="F20" s="6">
        <f>D20-E20</f>
      </c>
      <c r="G20" s="4" t="s">
        <v>98</v>
      </c>
    </row>
    <row r="21" spans="1:7" x14ac:dyDescent="0.25">
      <c r="A21" s="7" t="s">
        <v>64</v>
      </c>
      <c r="B21" s="7" t="s">
        <v>99</v>
      </c>
      <c r="C21" s="7" t="s">
        <v>64</v>
      </c>
      <c r="D21" s="8">
        <f>SUM(D6:D20)</f>
      </c>
      <c r="E21" s="8">
        <f>SUM(E6:E20)</f>
      </c>
      <c r="F21" s="8">
        <f>SUM(F6:F20)</f>
      </c>
      <c r="G21" s="7" t="s">
        <v>64</v>
      </c>
    </row>
    <row r="23" spans="1:7" x14ac:dyDescent="0.25">
      <c r="A23" s="9" t="s">
        <v>100</v>
      </c>
      <c r="B23" s="9"/>
      <c r="C23" s="9"/>
      <c r="D23" s="9"/>
      <c r="E23" s="9"/>
      <c r="F23" s="9"/>
      <c r="G23" s="9"/>
    </row>
  </sheetData>
  <mergeCells count="4">
    <mergeCell ref="A1:G1"/>
    <mergeCell ref="A2:G2"/>
    <mergeCell ref="A3:G3"/>
    <mergeCell ref="A23:G23"/>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FormatPr defaultRowHeight="15" outlineLevelRow="0" outlineLevelCol="0" x14ac:dyDescent="55"/>
  <cols>
    <col min="1" max="1" width="10" customWidth="1"/>
    <col min="2" max="2" width="30" customWidth="1"/>
    <col min="3" max="3" width="16" customWidth="1"/>
    <col min="4" max="4" width="14" customWidth="1"/>
    <col min="5" max="5" width="12" customWidth="1"/>
    <col min="6" max="6" width="14" customWidth="1"/>
    <col min="7" max="7" width="50" customWidth="1"/>
  </cols>
  <sheetData>
    <row r="1" spans="1:7" x14ac:dyDescent="0.25">
      <c r="A1" s="1" t="s">
        <v>0</v>
      </c>
      <c r="B1" s="1"/>
      <c r="C1" s="1"/>
      <c r="D1" s="1"/>
      <c r="E1" s="1"/>
      <c r="F1" s="1"/>
      <c r="G1" s="1"/>
    </row>
    <row r="2" spans="1:7" x14ac:dyDescent="0.25">
      <c r="A2" s="1" t="s">
        <v>101</v>
      </c>
      <c r="B2" s="1"/>
      <c r="C2" s="1"/>
      <c r="D2" s="1"/>
      <c r="E2" s="1"/>
      <c r="F2" s="1"/>
      <c r="G2" s="1"/>
    </row>
    <row r="3" spans="1:7" x14ac:dyDescent="0.25">
      <c r="A3" s="2" t="s">
        <v>2</v>
      </c>
      <c r="B3" s="2"/>
      <c r="C3" s="2"/>
      <c r="D3" s="2"/>
      <c r="E3" s="2"/>
      <c r="F3" s="2"/>
      <c r="G3" s="2"/>
    </row>
    <row r="5" spans="1:7" x14ac:dyDescent="0.25">
      <c r="A5" s="3" t="s">
        <v>102</v>
      </c>
      <c r="B5" s="3" t="s">
        <v>50</v>
      </c>
      <c r="C5" s="3" t="s">
        <v>103</v>
      </c>
      <c r="D5" s="3" t="s">
        <v>104</v>
      </c>
      <c r="E5" s="3" t="s">
        <v>105</v>
      </c>
      <c r="F5" s="3" t="s">
        <v>106</v>
      </c>
      <c r="G5" s="3" t="s">
        <v>54</v>
      </c>
    </row>
    <row r="6" spans="1:7" x14ac:dyDescent="0.25">
      <c r="A6" s="4" t="s">
        <v>57</v>
      </c>
      <c r="B6" s="4" t="s">
        <v>107</v>
      </c>
      <c r="C6" s="6">
        <f>SUMIF('01_固定資産台帳'!$C$6:$C$20,A6,'01_固定資産台帳'!$D$6:$D$20)</f>
      </c>
      <c r="D6" s="10">
        <v>12</v>
      </c>
      <c r="E6" s="11" t="s">
        <v>108</v>
      </c>
      <c r="F6" s="12">
        <f>COUNTIF('01_固定資産台帳'!$C$6:$C$20,A6)</f>
      </c>
      <c r="G6" s="4" t="s">
        <v>64</v>
      </c>
    </row>
    <row r="7" spans="1:7" x14ac:dyDescent="0.25">
      <c r="A7" s="4" t="s">
        <v>72</v>
      </c>
      <c r="B7" s="4" t="s">
        <v>109</v>
      </c>
      <c r="C7" s="6">
        <f>SUMIF('01_固定資産台帳'!$C$6:$C$20,A7,'01_固定資産台帳'!$D$6:$D$20)</f>
      </c>
      <c r="D7" s="10">
        <v>9</v>
      </c>
      <c r="E7" s="11" t="s">
        <v>108</v>
      </c>
      <c r="F7" s="12">
        <f>COUNTIF('01_固定資産台帳'!$C$6:$C$20,A7)</f>
      </c>
      <c r="G7" s="4" t="s">
        <v>64</v>
      </c>
    </row>
    <row r="8" spans="1:7" x14ac:dyDescent="0.25">
      <c r="A8" s="4" t="s">
        <v>83</v>
      </c>
      <c r="B8" s="4" t="s">
        <v>110</v>
      </c>
      <c r="C8" s="6">
        <f>SUMIF('01_固定資産台帳'!$C$6:$C$20,A8,'01_固定資産台帳'!$D$6:$D$20)</f>
      </c>
      <c r="D8" s="10">
        <v>20</v>
      </c>
      <c r="E8" s="11" t="s">
        <v>108</v>
      </c>
      <c r="F8" s="12">
        <f>COUNTIF('01_固定資産台帳'!$C$6:$C$20,A8)</f>
      </c>
      <c r="G8" s="4" t="s">
        <v>64</v>
      </c>
    </row>
    <row r="9" spans="1:7" x14ac:dyDescent="0.25">
      <c r="A9" s="4" t="s">
        <v>94</v>
      </c>
      <c r="B9" s="4" t="s">
        <v>111</v>
      </c>
      <c r="C9" s="6">
        <f>SUMIF('01_固定資産台帳'!$C$6:$C$20,A9,'01_固定資産台帳'!$D$6:$D$20)</f>
      </c>
      <c r="D9" s="10">
        <v>0</v>
      </c>
      <c r="E9" s="11" t="s">
        <v>112</v>
      </c>
      <c r="F9" s="12">
        <f>COUNTIF('01_固定資産台帳'!$C$6:$C$20,A9)</f>
      </c>
      <c r="G9" s="4" t="s">
        <v>113</v>
      </c>
    </row>
    <row r="10" spans="1:7" x14ac:dyDescent="0.25">
      <c r="A10" s="7" t="s">
        <v>64</v>
      </c>
      <c r="B10" s="7" t="s">
        <v>114</v>
      </c>
      <c r="C10" s="8">
        <f>SUM(C6:C9)</f>
      </c>
      <c r="D10" s="7" t="s">
        <v>64</v>
      </c>
      <c r="E10" s="7" t="s">
        <v>64</v>
      </c>
      <c r="F10" s="13">
        <f>SUM(F6:F9)</f>
      </c>
      <c r="G10" s="7" t="s">
        <v>64</v>
      </c>
    </row>
    <row r="11" spans="1:7" x14ac:dyDescent="0.25">
      <c r="A11" s="4" t="s">
        <v>95</v>
      </c>
      <c r="B11" s="4" t="s">
        <v>115</v>
      </c>
      <c r="C11" s="6">
        <f>SUMIF('01_固定資産台帳'!$C$6:$C$20,"共用",'01_固定資産台帳'!$D$6:$D$20)</f>
      </c>
      <c r="D11" s="4" t="s">
        <v>64</v>
      </c>
      <c r="E11" s="4" t="s">
        <v>64</v>
      </c>
      <c r="F11" s="4" t="s">
        <v>64</v>
      </c>
      <c r="G11" s="4" t="s">
        <v>98</v>
      </c>
    </row>
    <row r="12" spans="1:7" x14ac:dyDescent="0.25">
      <c r="A12" s="7" t="s">
        <v>64</v>
      </c>
      <c r="B12" s="7" t="s">
        <v>99</v>
      </c>
      <c r="C12" s="8">
        <f>C10+C11</f>
      </c>
      <c r="D12" s="7" t="s">
        <v>64</v>
      </c>
      <c r="E12" s="7" t="s">
        <v>64</v>
      </c>
      <c r="F12" s="7" t="s">
        <v>64</v>
      </c>
      <c r="G12" s="7" t="s">
        <v>64</v>
      </c>
    </row>
    <row r="13" spans="1:7" x14ac:dyDescent="0.25">
      <c r="A13" s="4" t="s">
        <v>64</v>
      </c>
      <c r="B13" s="4" t="s">
        <v>116</v>
      </c>
      <c r="C13" s="6">
        <f>C12-'01_固定資産台帳'!D21</f>
      </c>
      <c r="D13" s="4" t="s">
        <v>64</v>
      </c>
      <c r="E13" s="4" t="s">
        <v>64</v>
      </c>
      <c r="F13" s="4" t="s">
        <v>64</v>
      </c>
      <c r="G13" s="4" t="s">
        <v>64</v>
      </c>
    </row>
    <row r="15" spans="1:7" x14ac:dyDescent="0.25">
      <c r="A15" s="9" t="s">
        <v>117</v>
      </c>
      <c r="B15" s="9"/>
      <c r="C15" s="9"/>
      <c r="D15" s="9"/>
      <c r="E15" s="9"/>
      <c r="F15" s="9"/>
      <c r="G15" s="9"/>
    </row>
  </sheetData>
  <mergeCells count="4">
    <mergeCell ref="A1:G1"/>
    <mergeCell ref="A2:G2"/>
    <mergeCell ref="A3:G3"/>
    <mergeCell ref="A15:G15"/>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FormatPr defaultRowHeight="15" outlineLevelRow="0" outlineLevelCol="0" x14ac:dyDescent="55"/>
  <cols>
    <col min="1" max="1" width="10" customWidth="1"/>
    <col min="2" max="2" width="26" customWidth="1"/>
    <col min="3" max="6" width="10" customWidth="1"/>
    <col min="7" max="7" width="12" customWidth="1"/>
    <col min="8" max="8" width="60" customWidth="1"/>
  </cols>
  <sheetData>
    <row r="1" spans="1:8" x14ac:dyDescent="0.25">
      <c r="A1" s="1" t="s">
        <v>0</v>
      </c>
      <c r="B1" s="1"/>
      <c r="C1" s="1"/>
      <c r="D1" s="1"/>
      <c r="E1" s="1"/>
      <c r="F1" s="1"/>
      <c r="G1" s="1"/>
      <c r="H1" s="1"/>
    </row>
    <row r="2" spans="1:8" x14ac:dyDescent="0.25">
      <c r="A2" s="1" t="s">
        <v>118</v>
      </c>
      <c r="B2" s="1"/>
      <c r="C2" s="1"/>
      <c r="D2" s="1"/>
      <c r="E2" s="1"/>
      <c r="F2" s="1"/>
      <c r="G2" s="1"/>
      <c r="H2" s="1"/>
    </row>
    <row r="3" spans="1:8" x14ac:dyDescent="0.25">
      <c r="A3" s="2" t="s">
        <v>2</v>
      </c>
      <c r="B3" s="2"/>
      <c r="C3" s="2"/>
      <c r="D3" s="2"/>
      <c r="E3" s="2"/>
      <c r="F3" s="2"/>
      <c r="G3" s="2"/>
      <c r="H3" s="2"/>
    </row>
    <row r="5" spans="1:8" x14ac:dyDescent="0.25">
      <c r="A5" s="3" t="s">
        <v>102</v>
      </c>
      <c r="B5" s="3" t="s">
        <v>50</v>
      </c>
      <c r="C5" s="3" t="s">
        <v>119</v>
      </c>
      <c r="D5" s="3" t="s">
        <v>120</v>
      </c>
      <c r="E5" s="3" t="s">
        <v>121</v>
      </c>
      <c r="F5" s="3" t="s">
        <v>122</v>
      </c>
      <c r="G5" s="3" t="s">
        <v>123</v>
      </c>
      <c r="H5" s="3" t="s">
        <v>124</v>
      </c>
    </row>
    <row r="6" spans="1:8" x14ac:dyDescent="0.25">
      <c r="A6" s="4" t="s">
        <v>57</v>
      </c>
      <c r="B6" s="4" t="s">
        <v>107</v>
      </c>
      <c r="C6" s="11" t="s">
        <v>125</v>
      </c>
      <c r="D6" s="11" t="s">
        <v>125</v>
      </c>
      <c r="E6" s="11" t="s">
        <v>125</v>
      </c>
      <c r="F6" s="11" t="s">
        <v>125</v>
      </c>
      <c r="G6" s="4">
        <f>IF(COUNTIF(C6:F6,"該当")&gt;0,"兆候あり","兆候なし")</f>
      </c>
      <c r="H6" s="4" t="s">
        <v>126</v>
      </c>
    </row>
    <row r="7" spans="1:8" x14ac:dyDescent="0.25">
      <c r="A7" s="4" t="s">
        <v>72</v>
      </c>
      <c r="B7" s="4" t="s">
        <v>109</v>
      </c>
      <c r="C7" s="11" t="s">
        <v>127</v>
      </c>
      <c r="D7" s="11" t="s">
        <v>125</v>
      </c>
      <c r="E7" s="11" t="s">
        <v>127</v>
      </c>
      <c r="F7" s="11" t="s">
        <v>125</v>
      </c>
      <c r="G7" s="4">
        <f>IF(COUNTIF(C7:F7,"該当")&gt;0,"兆候あり","兆候なし")</f>
      </c>
      <c r="H7" s="4" t="s">
        <v>128</v>
      </c>
    </row>
    <row r="8" spans="1:8" x14ac:dyDescent="0.25">
      <c r="A8" s="4" t="s">
        <v>83</v>
      </c>
      <c r="B8" s="4" t="s">
        <v>110</v>
      </c>
      <c r="C8" s="11" t="s">
        <v>125</v>
      </c>
      <c r="D8" s="11" t="s">
        <v>125</v>
      </c>
      <c r="E8" s="11" t="s">
        <v>125</v>
      </c>
      <c r="F8" s="11" t="s">
        <v>125</v>
      </c>
      <c r="G8" s="4">
        <f>IF(COUNTIF(C8:F8,"該当")&gt;0,"兆候あり","兆候なし")</f>
      </c>
      <c r="H8" s="4" t="s">
        <v>129</v>
      </c>
    </row>
    <row r="9" spans="1:8" x14ac:dyDescent="0.25">
      <c r="A9" s="4" t="s">
        <v>94</v>
      </c>
      <c r="B9" s="4" t="s">
        <v>111</v>
      </c>
      <c r="C9" s="11" t="s">
        <v>125</v>
      </c>
      <c r="D9" s="11" t="s">
        <v>127</v>
      </c>
      <c r="E9" s="11" t="s">
        <v>125</v>
      </c>
      <c r="F9" s="11" t="s">
        <v>127</v>
      </c>
      <c r="G9" s="4">
        <f>IF(COUNTIF(C9:F9,"該当")&gt;0,"兆候あり","兆候なし")</f>
      </c>
      <c r="H9" s="4" t="s">
        <v>130</v>
      </c>
    </row>
    <row r="11" spans="1:2" x14ac:dyDescent="0.25">
      <c r="A11" s="4" t="s">
        <v>131</v>
      </c>
      <c r="B11" s="12">
        <f>COUNTIF(G6:G9,"兆候あり")</f>
      </c>
    </row>
    <row r="13" spans="1:8" x14ac:dyDescent="0.25">
      <c r="A13" s="9" t="s">
        <v>132</v>
      </c>
      <c r="B13" s="9"/>
      <c r="C13" s="9"/>
      <c r="D13" s="9"/>
      <c r="E13" s="9"/>
      <c r="F13" s="9"/>
      <c r="G13" s="9"/>
      <c r="H13" s="9"/>
    </row>
    <row r="14" spans="1:8" x14ac:dyDescent="0.25">
      <c r="A14" s="9" t="s">
        <v>133</v>
      </c>
      <c r="B14" s="9"/>
      <c r="C14" s="9"/>
      <c r="D14" s="9"/>
      <c r="E14" s="9"/>
      <c r="F14" s="9"/>
      <c r="G14" s="9"/>
      <c r="H14" s="9"/>
    </row>
  </sheetData>
  <mergeCells count="5">
    <mergeCell ref="A1:H1"/>
    <mergeCell ref="A2:H2"/>
    <mergeCell ref="A3:H3"/>
    <mergeCell ref="A13:H13"/>
    <mergeCell ref="A14:H14"/>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
  <sheetFormatPr defaultRowHeight="15" outlineLevelRow="0" outlineLevelCol="0" x14ac:dyDescent="55"/>
  <cols>
    <col min="1" max="1" width="10" customWidth="1"/>
    <col min="2" max="2" width="24" customWidth="1"/>
    <col min="3" max="22" width="10" customWidth="1"/>
    <col min="23" max="25" width="14" customWidth="1"/>
    <col min="26" max="27" width="12" customWidth="1"/>
  </cols>
  <sheetData>
    <row r="1" spans="1:27" x14ac:dyDescent="0.25">
      <c r="A1" s="1" t="s">
        <v>0</v>
      </c>
      <c r="B1" s="1"/>
      <c r="C1" s="1"/>
      <c r="D1" s="1"/>
      <c r="E1" s="1"/>
      <c r="F1" s="1"/>
      <c r="G1" s="1"/>
      <c r="H1" s="1"/>
      <c r="I1" s="1"/>
      <c r="J1" s="1"/>
      <c r="K1" s="1"/>
      <c r="L1" s="1"/>
      <c r="M1" s="1"/>
      <c r="N1" s="1"/>
      <c r="O1" s="1"/>
      <c r="P1" s="1"/>
      <c r="Q1" s="1"/>
      <c r="R1" s="1"/>
      <c r="S1" s="1"/>
      <c r="T1" s="1"/>
      <c r="U1" s="1"/>
      <c r="V1" s="1"/>
      <c r="W1" s="1"/>
      <c r="X1" s="1"/>
      <c r="Y1" s="1"/>
      <c r="Z1" s="1"/>
      <c r="AA1" s="1"/>
    </row>
    <row r="2" spans="1:27" x14ac:dyDescent="0.25">
      <c r="A2" s="1" t="s">
        <v>134</v>
      </c>
      <c r="B2" s="1"/>
      <c r="C2" s="1"/>
      <c r="D2" s="1"/>
      <c r="E2" s="1"/>
      <c r="F2" s="1"/>
      <c r="G2" s="1"/>
      <c r="H2" s="1"/>
      <c r="I2" s="1"/>
      <c r="J2" s="1"/>
      <c r="K2" s="1"/>
      <c r="L2" s="1"/>
      <c r="M2" s="1"/>
      <c r="N2" s="1"/>
      <c r="O2" s="1"/>
      <c r="P2" s="1"/>
      <c r="Q2" s="1"/>
      <c r="R2" s="1"/>
      <c r="S2" s="1"/>
      <c r="T2" s="1"/>
      <c r="U2" s="1"/>
      <c r="V2" s="1"/>
      <c r="W2" s="1"/>
      <c r="X2" s="1"/>
      <c r="Y2" s="1"/>
      <c r="Z2" s="1"/>
      <c r="AA2" s="1"/>
    </row>
    <row r="3" spans="1:27" x14ac:dyDescent="0.25">
      <c r="A3" s="2" t="s">
        <v>2</v>
      </c>
      <c r="B3" s="2"/>
      <c r="C3" s="2"/>
      <c r="D3" s="2"/>
      <c r="E3" s="2"/>
      <c r="F3" s="2"/>
      <c r="G3" s="2"/>
      <c r="H3" s="2"/>
      <c r="I3" s="2"/>
      <c r="J3" s="2"/>
      <c r="K3" s="2"/>
      <c r="L3" s="2"/>
      <c r="M3" s="2"/>
      <c r="N3" s="2"/>
      <c r="O3" s="2"/>
      <c r="P3" s="2"/>
      <c r="Q3" s="2"/>
      <c r="R3" s="2"/>
      <c r="S3" s="2"/>
      <c r="T3" s="2"/>
      <c r="U3" s="2"/>
      <c r="V3" s="2"/>
      <c r="W3" s="2"/>
      <c r="X3" s="2"/>
      <c r="Y3" s="2"/>
      <c r="Z3" s="2"/>
      <c r="AA3" s="2"/>
    </row>
    <row r="5" spans="1:27" x14ac:dyDescent="0.25">
      <c r="A5" s="14" t="s">
        <v>135</v>
      </c>
      <c r="B5" s="14"/>
      <c r="C5" s="14"/>
      <c r="D5" s="14"/>
      <c r="E5" s="14"/>
      <c r="F5" s="14"/>
      <c r="G5" s="14"/>
      <c r="H5" s="14"/>
      <c r="I5" s="14"/>
      <c r="J5" s="14"/>
      <c r="K5" s="14"/>
      <c r="L5" s="14"/>
      <c r="M5" s="14"/>
      <c r="N5" s="14"/>
      <c r="O5" s="14"/>
      <c r="P5" s="14"/>
      <c r="Q5" s="14"/>
      <c r="R5" s="14"/>
      <c r="S5" s="14"/>
      <c r="T5" s="14"/>
      <c r="U5" s="14"/>
      <c r="V5" s="14"/>
      <c r="W5" s="14"/>
      <c r="X5" s="14"/>
      <c r="Y5" s="14"/>
      <c r="Z5" s="14"/>
      <c r="AA5" s="14"/>
    </row>
    <row r="7" spans="1:27" x14ac:dyDescent="0.25">
      <c r="A7" s="3" t="s">
        <v>102</v>
      </c>
      <c r="B7" s="3" t="s">
        <v>50</v>
      </c>
      <c r="C7" s="3" t="s">
        <v>136</v>
      </c>
      <c r="D7" s="3" t="s">
        <v>137</v>
      </c>
      <c r="E7" s="3" t="s">
        <v>138</v>
      </c>
      <c r="F7" s="3" t="s">
        <v>139</v>
      </c>
      <c r="G7" s="3" t="s">
        <v>140</v>
      </c>
      <c r="H7" s="3" t="s">
        <v>141</v>
      </c>
      <c r="I7" s="3" t="s">
        <v>142</v>
      </c>
      <c r="J7" s="3" t="s">
        <v>143</v>
      </c>
      <c r="K7" s="3" t="s">
        <v>144</v>
      </c>
      <c r="L7" s="3" t="s">
        <v>145</v>
      </c>
      <c r="M7" s="3" t="s">
        <v>146</v>
      </c>
      <c r="N7" s="3" t="s">
        <v>147</v>
      </c>
      <c r="O7" s="3" t="s">
        <v>148</v>
      </c>
      <c r="P7" s="3" t="s">
        <v>149</v>
      </c>
      <c r="Q7" s="3" t="s">
        <v>150</v>
      </c>
      <c r="R7" s="3" t="s">
        <v>151</v>
      </c>
      <c r="S7" s="3" t="s">
        <v>152</v>
      </c>
      <c r="T7" s="3" t="s">
        <v>153</v>
      </c>
      <c r="U7" s="3" t="s">
        <v>154</v>
      </c>
      <c r="V7" s="3" t="s">
        <v>155</v>
      </c>
      <c r="W7" s="3" t="s">
        <v>156</v>
      </c>
      <c r="X7" s="3" t="s">
        <v>157</v>
      </c>
      <c r="Y7" s="3" t="s">
        <v>158</v>
      </c>
      <c r="Z7" s="3" t="s">
        <v>159</v>
      </c>
      <c r="AA7" s="3" t="s">
        <v>160</v>
      </c>
    </row>
    <row r="8" spans="1:27" x14ac:dyDescent="0.25">
      <c r="A8" s="4" t="s">
        <v>57</v>
      </c>
      <c r="B8" s="4" t="s">
        <v>107</v>
      </c>
      <c r="C8" s="5">
        <v>230000</v>
      </c>
      <c r="D8" s="5">
        <v>235000</v>
      </c>
      <c r="E8" s="5">
        <v>240000</v>
      </c>
      <c r="F8" s="5">
        <v>240000</v>
      </c>
      <c r="G8" s="5">
        <v>235000</v>
      </c>
      <c r="H8" s="5">
        <v>230000</v>
      </c>
      <c r="I8" s="5">
        <v>225000</v>
      </c>
      <c r="J8" s="5">
        <v>220000</v>
      </c>
      <c r="K8" s="5">
        <v>215000</v>
      </c>
      <c r="L8" s="5">
        <v>210000</v>
      </c>
      <c r="M8" s="5">
        <v>205000</v>
      </c>
      <c r="N8" s="5">
        <v>200000</v>
      </c>
      <c r="O8" s="5"/>
      <c r="P8" s="5"/>
      <c r="Q8" s="5"/>
      <c r="R8" s="5"/>
      <c r="S8" s="5"/>
      <c r="T8" s="5"/>
      <c r="U8" s="5"/>
      <c r="V8" s="5"/>
      <c r="W8" s="5">
        <v>160000</v>
      </c>
      <c r="X8" s="6">
        <f>SUM(C8:V8)+W8</f>
      </c>
      <c r="Y8" s="6">
        <f>'02_グルーピング表'!C6</f>
      </c>
      <c r="Z8" s="4">
        <f>IF('03_兆候の判定'!G6&lt;&gt;"兆候あり","判定不要",IF(X8&lt;Y8,"認識する","認識しない"))</f>
      </c>
      <c r="AA8" s="15">
        <f>IF(Y8=0,"",X8/Y8-1)</f>
      </c>
    </row>
    <row r="9" spans="1:27" x14ac:dyDescent="0.25">
      <c r="A9" s="4" t="s">
        <v>72</v>
      </c>
      <c r="B9" s="4" t="s">
        <v>109</v>
      </c>
      <c r="C9" s="5">
        <v>170400</v>
      </c>
      <c r="D9" s="5">
        <v>166400</v>
      </c>
      <c r="E9" s="5">
        <v>160400</v>
      </c>
      <c r="F9" s="5">
        <v>156400</v>
      </c>
      <c r="G9" s="5">
        <v>152400</v>
      </c>
      <c r="H9" s="5">
        <v>148400</v>
      </c>
      <c r="I9" s="5">
        <v>144400</v>
      </c>
      <c r="J9" s="5">
        <v>140400</v>
      </c>
      <c r="K9" s="5">
        <v>38000</v>
      </c>
      <c r="L9" s="5"/>
      <c r="M9" s="5"/>
      <c r="N9" s="5"/>
      <c r="O9" s="5"/>
      <c r="P9" s="5"/>
      <c r="Q9" s="5"/>
      <c r="R9" s="5"/>
      <c r="S9" s="5"/>
      <c r="T9" s="5"/>
      <c r="U9" s="5"/>
      <c r="V9" s="5"/>
      <c r="W9" s="5">
        <v>95000</v>
      </c>
      <c r="X9" s="6">
        <f>SUM(C9:V9)+W9</f>
      </c>
      <c r="Y9" s="6">
        <f>'02_グルーピング表'!C7</f>
      </c>
      <c r="Z9" s="4">
        <f>IF('03_兆候の判定'!G7&lt;&gt;"兆候あり","判定不要",IF(X9&lt;Y9,"認識する","認識しない"))</f>
      </c>
      <c r="AA9" s="15">
        <f>IF(Y9=0,"",X9/Y9-1)</f>
      </c>
    </row>
    <row r="10" spans="1:27" x14ac:dyDescent="0.25">
      <c r="A10" s="4" t="s">
        <v>83</v>
      </c>
      <c r="B10" s="4" t="s">
        <v>110</v>
      </c>
      <c r="C10" s="5">
        <v>42000</v>
      </c>
      <c r="D10" s="5">
        <v>42000</v>
      </c>
      <c r="E10" s="5">
        <v>42000</v>
      </c>
      <c r="F10" s="5">
        <v>41000</v>
      </c>
      <c r="G10" s="5">
        <v>41000</v>
      </c>
      <c r="H10" s="5">
        <v>41000</v>
      </c>
      <c r="I10" s="5">
        <v>40000</v>
      </c>
      <c r="J10" s="5">
        <v>40000</v>
      </c>
      <c r="K10" s="5">
        <v>40000</v>
      </c>
      <c r="L10" s="5">
        <v>39000</v>
      </c>
      <c r="M10" s="5">
        <v>39000</v>
      </c>
      <c r="N10" s="5">
        <v>39000</v>
      </c>
      <c r="O10" s="5">
        <v>38000</v>
      </c>
      <c r="P10" s="5">
        <v>38000</v>
      </c>
      <c r="Q10" s="5">
        <v>38000</v>
      </c>
      <c r="R10" s="5">
        <v>37000</v>
      </c>
      <c r="S10" s="5">
        <v>37000</v>
      </c>
      <c r="T10" s="5">
        <v>37000</v>
      </c>
      <c r="U10" s="5">
        <v>36000</v>
      </c>
      <c r="V10" s="5">
        <v>36000</v>
      </c>
      <c r="W10" s="5">
        <v>150000</v>
      </c>
      <c r="X10" s="6">
        <f>SUM(C10:V10)+W10</f>
      </c>
      <c r="Y10" s="6">
        <f>'02_グルーピング表'!C8</f>
      </c>
      <c r="Z10" s="4">
        <f>IF('03_兆候の判定'!G8&lt;&gt;"兆候あり","判定不要",IF(X10&lt;Y10,"認識する","認識しない"))</f>
      </c>
      <c r="AA10" s="15">
        <f>IF(Y10=0,"",X10/Y10-1)</f>
      </c>
    </row>
    <row r="11" spans="1:27" x14ac:dyDescent="0.25">
      <c r="A11" s="4" t="s">
        <v>94</v>
      </c>
      <c r="B11" s="4" t="s">
        <v>111</v>
      </c>
      <c r="C11" s="5">
        <v>0</v>
      </c>
      <c r="D11" s="5"/>
      <c r="E11" s="5"/>
      <c r="F11" s="5"/>
      <c r="G11" s="5"/>
      <c r="H11" s="5"/>
      <c r="I11" s="5"/>
      <c r="J11" s="5"/>
      <c r="K11" s="5"/>
      <c r="L11" s="5"/>
      <c r="M11" s="5"/>
      <c r="N11" s="5"/>
      <c r="O11" s="5"/>
      <c r="P11" s="5"/>
      <c r="Q11" s="5"/>
      <c r="R11" s="5"/>
      <c r="S11" s="5"/>
      <c r="T11" s="5"/>
      <c r="U11" s="5"/>
      <c r="V11" s="5"/>
      <c r="W11" s="5">
        <v>168000</v>
      </c>
      <c r="X11" s="6">
        <f>SUM(C11:V11)+W11</f>
      </c>
      <c r="Y11" s="6">
        <f>'02_グルーピング表'!C9</f>
      </c>
      <c r="Z11" s="4">
        <f>IF('03_兆候の判定'!G9&lt;&gt;"兆候あり","判定不要",IF(X11&lt;Y11,"認識する","認識しない"))</f>
      </c>
      <c r="AA11" s="15">
        <f>IF(Y11=0,"",X11/Y11-1)</f>
      </c>
    </row>
    <row r="13" spans="1:27" x14ac:dyDescent="0.25">
      <c r="A13" s="9" t="s">
        <v>161</v>
      </c>
      <c r="B13" s="9"/>
      <c r="C13" s="9"/>
      <c r="D13" s="9"/>
      <c r="E13" s="9"/>
      <c r="F13" s="9"/>
      <c r="G13" s="9"/>
      <c r="H13" s="9"/>
      <c r="I13" s="9"/>
      <c r="J13" s="9"/>
      <c r="K13" s="9"/>
      <c r="L13" s="9"/>
      <c r="M13" s="9"/>
      <c r="N13" s="9"/>
      <c r="O13" s="9"/>
      <c r="P13" s="9"/>
      <c r="Q13" s="9"/>
      <c r="R13" s="9"/>
      <c r="S13" s="9"/>
      <c r="T13" s="9"/>
      <c r="U13" s="9"/>
      <c r="V13" s="9"/>
      <c r="W13" s="9"/>
      <c r="X13" s="9"/>
      <c r="Y13" s="9"/>
      <c r="Z13" s="9"/>
      <c r="AA13" s="9"/>
    </row>
    <row r="14" spans="1:27" x14ac:dyDescent="0.25">
      <c r="A14" s="9" t="s">
        <v>162</v>
      </c>
      <c r="B14" s="9"/>
      <c r="C14" s="9"/>
      <c r="D14" s="9"/>
      <c r="E14" s="9"/>
      <c r="F14" s="9"/>
      <c r="G14" s="9"/>
      <c r="H14" s="9"/>
      <c r="I14" s="9"/>
      <c r="J14" s="9"/>
      <c r="K14" s="9"/>
      <c r="L14" s="9"/>
      <c r="M14" s="9"/>
      <c r="N14" s="9"/>
      <c r="O14" s="9"/>
      <c r="P14" s="9"/>
      <c r="Q14" s="9"/>
      <c r="R14" s="9"/>
      <c r="S14" s="9"/>
      <c r="T14" s="9"/>
      <c r="U14" s="9"/>
      <c r="V14" s="9"/>
      <c r="W14" s="9"/>
      <c r="X14" s="9"/>
      <c r="Y14" s="9"/>
      <c r="Z14" s="9"/>
      <c r="AA14" s="9"/>
    </row>
  </sheetData>
  <mergeCells count="6">
    <mergeCell ref="A1:AA1"/>
    <mergeCell ref="A2:AA2"/>
    <mergeCell ref="A3:AA3"/>
    <mergeCell ref="A5:AA5"/>
    <mergeCell ref="A13:AA13"/>
    <mergeCell ref="A14:AA14"/>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FormatPr defaultRowHeight="15" outlineLevelRow="0" outlineLevelCol="0" x14ac:dyDescent="55"/>
  <cols>
    <col min="1" max="1" width="10" customWidth="1"/>
    <col min="2" max="2" width="24" customWidth="1"/>
    <col min="3" max="3" width="14" customWidth="1"/>
    <col min="4" max="4" width="40" customWidth="1"/>
    <col min="5" max="5" width="12" customWidth="1"/>
    <col min="6" max="10" width="14" customWidth="1"/>
  </cols>
  <sheetData>
    <row r="1" spans="1:10" x14ac:dyDescent="0.25">
      <c r="A1" s="1" t="s">
        <v>0</v>
      </c>
      <c r="B1" s="1"/>
      <c r="C1" s="1"/>
      <c r="D1" s="1"/>
      <c r="E1" s="1"/>
      <c r="F1" s="1"/>
      <c r="G1" s="1"/>
      <c r="H1" s="1"/>
      <c r="I1" s="1"/>
      <c r="J1" s="1"/>
    </row>
    <row r="2" spans="1:10" x14ac:dyDescent="0.25">
      <c r="A2" s="1" t="s">
        <v>163</v>
      </c>
      <c r="B2" s="1"/>
      <c r="C2" s="1"/>
      <c r="D2" s="1"/>
      <c r="E2" s="1"/>
      <c r="F2" s="1"/>
      <c r="G2" s="1"/>
      <c r="H2" s="1"/>
      <c r="I2" s="1"/>
      <c r="J2" s="1"/>
    </row>
    <row r="3" spans="1:10" x14ac:dyDescent="0.25">
      <c r="A3" s="2" t="s">
        <v>2</v>
      </c>
      <c r="B3" s="2"/>
      <c r="C3" s="2"/>
      <c r="D3" s="2"/>
      <c r="E3" s="2"/>
      <c r="F3" s="2"/>
      <c r="G3" s="2"/>
      <c r="H3" s="2"/>
      <c r="I3" s="2"/>
      <c r="J3" s="2"/>
    </row>
    <row r="5" spans="1:10" x14ac:dyDescent="0.25">
      <c r="A5" s="3" t="s">
        <v>102</v>
      </c>
      <c r="B5" s="3" t="s">
        <v>50</v>
      </c>
      <c r="C5" s="3" t="s">
        <v>164</v>
      </c>
      <c r="D5" s="3" t="s">
        <v>165</v>
      </c>
      <c r="E5" s="3" t="s">
        <v>166</v>
      </c>
      <c r="F5" s="3" t="s">
        <v>167</v>
      </c>
      <c r="G5" s="3" t="s">
        <v>168</v>
      </c>
      <c r="H5" s="3" t="s">
        <v>169</v>
      </c>
      <c r="I5" s="3" t="s">
        <v>158</v>
      </c>
      <c r="J5" s="3" t="s">
        <v>170</v>
      </c>
    </row>
    <row r="6" spans="1:10" x14ac:dyDescent="0.25">
      <c r="A6" s="4" t="s">
        <v>57</v>
      </c>
      <c r="B6" s="4" t="s">
        <v>107</v>
      </c>
      <c r="C6" s="5">
        <v>1420000</v>
      </c>
      <c r="D6" s="4" t="s">
        <v>171</v>
      </c>
      <c r="E6" s="16">
        <v>0.055</v>
      </c>
      <c r="F6" s="6">
        <f>'04_認識の判定（割引前）'!C8/(1+E6)^1+'04_認識の判定（割引前）'!D8/(1+E6)^2+'04_認識の判定（割引前）'!E8/(1+E6)^3+'04_認識の判定（割引前）'!F8/(1+E6)^4+'04_認識の判定（割引前）'!G8/(1+E6)^5+'04_認識の判定（割引前）'!H8/(1+E6)^6+'04_認識の判定（割引前）'!I8/(1+E6)^7+'04_認識の判定（割引前）'!J8/(1+E6)^8+'04_認識の判定（割引前）'!K8/(1+E6)^9+'04_認識の判定（割引前）'!L8/(1+E6)^10+'04_認識の判定（割引前）'!M8/(1+E6)^11+'04_認識の判定（割引前）'!N8/(1+E6)^12+'04_認識の判定（割引前）'!W8/(1+E6)^12</f>
      </c>
      <c r="G6" s="6">
        <f>MAX(C6,F6)</f>
      </c>
      <c r="H6" s="4">
        <f>IF(C6&gt;=F6,"正味売却価額","使用価値")</f>
      </c>
      <c r="I6" s="6">
        <f>'04_認識の判定（割引前）'!Y8</f>
      </c>
      <c r="J6" s="6">
        <f>IF('04_認識の判定（割引前）'!Z8="認識する",MAX(0,I6-G6),0)</f>
      </c>
    </row>
    <row r="7" spans="1:10" x14ac:dyDescent="0.25">
      <c r="A7" s="4" t="s">
        <v>72</v>
      </c>
      <c r="B7" s="4" t="s">
        <v>109</v>
      </c>
      <c r="C7" s="5">
        <v>430000</v>
      </c>
      <c r="D7" s="4" t="s">
        <v>172</v>
      </c>
      <c r="E7" s="16">
        <v>0.065</v>
      </c>
      <c r="F7" s="6">
        <f>'04_認識の判定（割引前）'!C9/(1+E7)^1+'04_認識の判定（割引前）'!D9/(1+E7)^2+'04_認識の判定（割引前）'!E9/(1+E7)^3+'04_認識の判定（割引前）'!F9/(1+E7)^4+'04_認識の判定（割引前）'!G9/(1+E7)^5+'04_認識の判定（割引前）'!H9/(1+E7)^6+'04_認識の判定（割引前）'!I9/(1+E7)^7+'04_認識の判定（割引前）'!J9/(1+E7)^8+'04_認識の判定（割引前）'!K9/(1+E7)^9+'04_認識の判定（割引前）'!W9/(1+E7)^9</f>
      </c>
      <c r="G7" s="6">
        <f>MAX(C7,F7)</f>
      </c>
      <c r="H7" s="4">
        <f>IF(C7&gt;=F7,"正味売却価額","使用価値")</f>
      </c>
      <c r="I7" s="6">
        <f>'04_認識の判定（割引前）'!Y9</f>
      </c>
      <c r="J7" s="6">
        <f>IF('04_認識の判定（割引前）'!Z9="認識する",MAX(0,I7-G7),0)</f>
      </c>
    </row>
    <row r="8" spans="1:10" x14ac:dyDescent="0.25">
      <c r="A8" s="4" t="s">
        <v>83</v>
      </c>
      <c r="B8" s="4" t="s">
        <v>110</v>
      </c>
      <c r="C8" s="5">
        <v>495000</v>
      </c>
      <c r="D8" s="4" t="s">
        <v>173</v>
      </c>
      <c r="E8" s="16">
        <v>0.05</v>
      </c>
      <c r="F8" s="6">
        <f>'04_認識の判定（割引前）'!C10/(1+E8)^1+'04_認識の判定（割引前）'!D10/(1+E8)^2+'04_認識の判定（割引前）'!E10/(1+E8)^3+'04_認識の判定（割引前）'!F10/(1+E8)^4+'04_認識の判定（割引前）'!G10/(1+E8)^5+'04_認識の判定（割引前）'!H10/(1+E8)^6+'04_認識の判定（割引前）'!I10/(1+E8)^7+'04_認識の判定（割引前）'!J10/(1+E8)^8+'04_認識の判定（割引前）'!K10/(1+E8)^9+'04_認識の判定（割引前）'!L10/(1+E8)^10+'04_認識の判定（割引前）'!M10/(1+E8)^11+'04_認識の判定（割引前）'!N10/(1+E8)^12+'04_認識の判定（割引前）'!O10/(1+E8)^13+'04_認識の判定（割引前）'!P10/(1+E8)^14+'04_認識の判定（割引前）'!Q10/(1+E8)^15+'04_認識の判定（割引前）'!R10/(1+E8)^16+'04_認識の判定（割引前）'!S10/(1+E8)^17+'04_認識の判定（割引前）'!T10/(1+E8)^18+'04_認識の判定（割引前）'!U10/(1+E8)^19+'04_認識の判定（割引前）'!V10/(1+E8)^20+'04_認識の判定（割引前）'!W10/(1+E8)^20</f>
      </c>
      <c r="G8" s="6">
        <f>MAX(C8,F8)</f>
      </c>
      <c r="H8" s="4">
        <f>IF(C8&gt;=F8,"正味売却価額","使用価値")</f>
      </c>
      <c r="I8" s="6">
        <f>'04_認識の判定（割引前）'!Y10</f>
      </c>
      <c r="J8" s="6">
        <f>IF('04_認識の判定（割引前）'!Z10="認識する",MAX(0,I8-G8),0)</f>
      </c>
    </row>
    <row r="9" spans="1:10" x14ac:dyDescent="0.25">
      <c r="A9" s="4" t="s">
        <v>94</v>
      </c>
      <c r="B9" s="4" t="s">
        <v>111</v>
      </c>
      <c r="C9" s="5">
        <v>168000</v>
      </c>
      <c r="D9" s="4" t="s">
        <v>174</v>
      </c>
      <c r="E9" s="16">
        <v>0.05</v>
      </c>
      <c r="F9" s="6">
        <f>'04_認識の判定（割引前）'!C11/(1+E9)^1+'04_認識の判定（割引前）'!W11/(1+E9)^1</f>
      </c>
      <c r="G9" s="6">
        <f>MAX(C9,F9)</f>
      </c>
      <c r="H9" s="4">
        <f>IF(C9&gt;=F9,"正味売却価額","使用価値")</f>
      </c>
      <c r="I9" s="6">
        <f>'04_認識の判定（割引前）'!Y11</f>
      </c>
      <c r="J9" s="6">
        <f>IF('04_認識の判定（割引前）'!Z11="認識する",MAX(0,I9-G9),0)</f>
      </c>
    </row>
    <row r="10" spans="1:10" x14ac:dyDescent="0.25">
      <c r="A10" s="7" t="s">
        <v>64</v>
      </c>
      <c r="B10" s="7" t="s">
        <v>99</v>
      </c>
      <c r="C10" s="7" t="s">
        <v>64</v>
      </c>
      <c r="D10" s="7" t="s">
        <v>64</v>
      </c>
      <c r="E10" s="7" t="s">
        <v>64</v>
      </c>
      <c r="F10" s="7" t="s">
        <v>64</v>
      </c>
      <c r="G10" s="7" t="s">
        <v>64</v>
      </c>
      <c r="H10" s="7" t="s">
        <v>64</v>
      </c>
      <c r="I10" s="8">
        <f>SUM(I6:I9)</f>
      </c>
      <c r="J10" s="8">
        <f>SUM(J6:J9)</f>
      </c>
    </row>
    <row r="12" spans="1:10" x14ac:dyDescent="0.25">
      <c r="A12" s="9" t="s">
        <v>175</v>
      </c>
      <c r="B12" s="9"/>
      <c r="C12" s="9"/>
      <c r="D12" s="9"/>
      <c r="E12" s="9"/>
      <c r="F12" s="9"/>
      <c r="G12" s="9"/>
      <c r="H12" s="9"/>
      <c r="I12" s="9"/>
      <c r="J12" s="9"/>
    </row>
    <row r="13" spans="1:10" x14ac:dyDescent="0.25">
      <c r="A13" s="9" t="s">
        <v>176</v>
      </c>
      <c r="B13" s="9"/>
      <c r="C13" s="9"/>
      <c r="D13" s="9"/>
      <c r="E13" s="9"/>
      <c r="F13" s="9"/>
      <c r="G13" s="9"/>
      <c r="H13" s="9"/>
      <c r="I13" s="9"/>
      <c r="J13" s="9"/>
    </row>
    <row r="14" spans="1:10" x14ac:dyDescent="0.25">
      <c r="A14" s="9" t="s">
        <v>177</v>
      </c>
      <c r="B14" s="9"/>
      <c r="C14" s="9"/>
      <c r="D14" s="9"/>
      <c r="E14" s="9"/>
      <c r="F14" s="9"/>
      <c r="G14" s="9"/>
      <c r="H14" s="9"/>
      <c r="I14" s="9"/>
      <c r="J14" s="9"/>
    </row>
    <row r="15" spans="1:10" x14ac:dyDescent="0.25">
      <c r="A15" s="9" t="s">
        <v>178</v>
      </c>
      <c r="B15" s="9"/>
      <c r="C15" s="9"/>
      <c r="D15" s="9"/>
      <c r="E15" s="9"/>
      <c r="F15" s="9"/>
      <c r="G15" s="9"/>
      <c r="H15" s="9"/>
      <c r="I15" s="9"/>
      <c r="J15" s="9"/>
    </row>
    <row r="16" spans="1:10" x14ac:dyDescent="0.25">
      <c r="A16" s="9" t="s">
        <v>179</v>
      </c>
      <c r="B16" s="9"/>
      <c r="C16" s="9"/>
      <c r="D16" s="9"/>
      <c r="E16" s="9"/>
      <c r="F16" s="9"/>
      <c r="G16" s="9"/>
      <c r="H16" s="9"/>
      <c r="I16" s="9"/>
      <c r="J16" s="9"/>
    </row>
    <row r="17" spans="1:10" x14ac:dyDescent="0.25">
      <c r="A17" s="9" t="s">
        <v>180</v>
      </c>
      <c r="B17" s="9"/>
      <c r="C17" s="9"/>
      <c r="D17" s="9"/>
      <c r="E17" s="9"/>
      <c r="F17" s="9"/>
      <c r="G17" s="9"/>
      <c r="H17" s="9"/>
      <c r="I17" s="9"/>
      <c r="J17" s="9"/>
    </row>
  </sheetData>
  <mergeCells count="9">
    <mergeCell ref="A1:J1"/>
    <mergeCell ref="A2:J2"/>
    <mergeCell ref="A3:J3"/>
    <mergeCell ref="A12:J12"/>
    <mergeCell ref="A13:J13"/>
    <mergeCell ref="A14:J14"/>
    <mergeCell ref="A15:J15"/>
    <mergeCell ref="A16:J16"/>
    <mergeCell ref="A17:J17"/>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FormatPr defaultRowHeight="15" outlineLevelRow="0" outlineLevelCol="0" x14ac:dyDescent="55"/>
  <cols>
    <col min="1" max="1" width="12" customWidth="1"/>
    <col min="2" max="2" width="32" customWidth="1"/>
    <col min="3" max="3" width="12" customWidth="1"/>
    <col min="4" max="4" width="14" customWidth="1"/>
    <col min="5" max="5" width="12" customWidth="1"/>
    <col min="6" max="7" width="14" customWidth="1"/>
    <col min="8" max="8" width="40" customWidth="1"/>
  </cols>
  <sheetData>
    <row r="1" spans="1:8" x14ac:dyDescent="0.25">
      <c r="A1" s="1" t="s">
        <v>0</v>
      </c>
      <c r="B1" s="1"/>
      <c r="C1" s="1"/>
      <c r="D1" s="1"/>
      <c r="E1" s="1"/>
      <c r="F1" s="1"/>
      <c r="G1" s="1"/>
      <c r="H1" s="1"/>
    </row>
    <row r="2" spans="1:8" x14ac:dyDescent="0.25">
      <c r="A2" s="1" t="s">
        <v>181</v>
      </c>
      <c r="B2" s="1"/>
      <c r="C2" s="1"/>
      <c r="D2" s="1"/>
      <c r="E2" s="1"/>
      <c r="F2" s="1"/>
      <c r="G2" s="1"/>
      <c r="H2" s="1"/>
    </row>
    <row r="3" spans="1:8" x14ac:dyDescent="0.25">
      <c r="A3" s="2" t="s">
        <v>2</v>
      </c>
      <c r="B3" s="2"/>
      <c r="C3" s="2"/>
      <c r="D3" s="2"/>
      <c r="E3" s="2"/>
      <c r="F3" s="2"/>
      <c r="G3" s="2"/>
      <c r="H3" s="2"/>
    </row>
    <row r="5" spans="1:8" x14ac:dyDescent="0.25">
      <c r="A5" s="3" t="s">
        <v>48</v>
      </c>
      <c r="B5" s="3" t="s">
        <v>49</v>
      </c>
      <c r="C5" s="3" t="s">
        <v>182</v>
      </c>
      <c r="D5" s="3" t="s">
        <v>158</v>
      </c>
      <c r="E5" s="3" t="s">
        <v>183</v>
      </c>
      <c r="F5" s="3" t="s">
        <v>184</v>
      </c>
      <c r="G5" s="3" t="s">
        <v>185</v>
      </c>
      <c r="H5" s="3" t="s">
        <v>54</v>
      </c>
    </row>
    <row r="6" spans="1:8" x14ac:dyDescent="0.25">
      <c r="A6" s="4" t="s">
        <v>55</v>
      </c>
      <c r="B6" s="4" t="s">
        <v>56</v>
      </c>
      <c r="C6" s="4" t="s">
        <v>57</v>
      </c>
      <c r="D6" s="6">
        <f>'01_固定資産台帳'!D6</f>
      </c>
      <c r="E6" s="15">
        <f>IF('05_回収可能価額の測定'!$I$6=0,0,D6/'05_回収可能価額の測定'!$I$6)</f>
      </c>
      <c r="F6" s="6">
        <f>'05_回収可能価額の測定'!$J$6*E6</f>
      </c>
      <c r="G6" s="6">
        <f>D6-F6</f>
      </c>
      <c r="H6" s="4" t="s">
        <v>58</v>
      </c>
    </row>
    <row r="7" spans="1:8" x14ac:dyDescent="0.25">
      <c r="A7" s="4" t="s">
        <v>59</v>
      </c>
      <c r="B7" s="4" t="s">
        <v>60</v>
      </c>
      <c r="C7" s="4" t="s">
        <v>57</v>
      </c>
      <c r="D7" s="6">
        <f>'01_固定資産台帳'!D7</f>
      </c>
      <c r="E7" s="15">
        <f>IF('05_回収可能価額の測定'!$I$6=0,0,D7/'05_回収可能価額の測定'!$I$6)</f>
      </c>
      <c r="F7" s="6">
        <f>'05_回収可能価額の測定'!$J$6*E7</f>
      </c>
      <c r="G7" s="6">
        <f>D7-F7</f>
      </c>
      <c r="H7" s="4" t="s">
        <v>61</v>
      </c>
    </row>
    <row r="8" spans="1:8" x14ac:dyDescent="0.25">
      <c r="A8" s="4" t="s">
        <v>62</v>
      </c>
      <c r="B8" s="4" t="s">
        <v>63</v>
      </c>
      <c r="C8" s="4" t="s">
        <v>57</v>
      </c>
      <c r="D8" s="6">
        <f>'01_固定資産台帳'!D8</f>
      </c>
      <c r="E8" s="15">
        <f>IF('05_回収可能価額の測定'!$I$6=0,0,D8/'05_回収可能価額の測定'!$I$6)</f>
      </c>
      <c r="F8" s="6">
        <f>'05_回収可能価額の測定'!$J$6*E8</f>
      </c>
      <c r="G8" s="6">
        <f>D8-F8</f>
      </c>
      <c r="H8" s="4" t="s">
        <v>64</v>
      </c>
    </row>
    <row r="9" spans="1:8" x14ac:dyDescent="0.25">
      <c r="A9" s="4" t="s">
        <v>65</v>
      </c>
      <c r="B9" s="4" t="s">
        <v>66</v>
      </c>
      <c r="C9" s="4" t="s">
        <v>57</v>
      </c>
      <c r="D9" s="6">
        <f>'01_固定資産台帳'!D9</f>
      </c>
      <c r="E9" s="15">
        <f>IF('05_回収可能価額の測定'!$I$6=0,0,D9/'05_回収可能価額の測定'!$I$6)</f>
      </c>
      <c r="F9" s="6">
        <f>'05_回収可能価額の測定'!$J$6*E9</f>
      </c>
      <c r="G9" s="6">
        <f>D9-F9</f>
      </c>
      <c r="H9" s="4" t="s">
        <v>64</v>
      </c>
    </row>
    <row r="10" spans="1:8" x14ac:dyDescent="0.25">
      <c r="A10" s="4" t="s">
        <v>67</v>
      </c>
      <c r="B10" s="4" t="s">
        <v>68</v>
      </c>
      <c r="C10" s="4" t="s">
        <v>57</v>
      </c>
      <c r="D10" s="6">
        <f>'01_固定資産台帳'!D10</f>
      </c>
      <c r="E10" s="15">
        <f>IF('05_回収可能価額の測定'!$I$6=0,0,D10/'05_回収可能価額の測定'!$I$6)</f>
      </c>
      <c r="F10" s="6">
        <f>'05_回収可能価額の測定'!$J$6*E10</f>
      </c>
      <c r="G10" s="6">
        <f>D10-F10</f>
      </c>
      <c r="H10" s="4" t="s">
        <v>69</v>
      </c>
    </row>
    <row r="11" spans="1:8" x14ac:dyDescent="0.25">
      <c r="A11" s="4" t="s">
        <v>70</v>
      </c>
      <c r="B11" s="4" t="s">
        <v>71</v>
      </c>
      <c r="C11" s="4" t="s">
        <v>72</v>
      </c>
      <c r="D11" s="6">
        <f>'01_固定資産台帳'!D11</f>
      </c>
      <c r="E11" s="15">
        <f>IF('05_回収可能価額の測定'!$I$7=0,0,D11/'05_回収可能価額の測定'!$I$7)</f>
      </c>
      <c r="F11" s="6">
        <f>'05_回収可能価額の測定'!$J$7*E11</f>
      </c>
      <c r="G11" s="6">
        <f>D11-F11</f>
      </c>
      <c r="H11" s="4" t="s">
        <v>73</v>
      </c>
    </row>
    <row r="12" spans="1:8" x14ac:dyDescent="0.25">
      <c r="A12" s="4" t="s">
        <v>74</v>
      </c>
      <c r="B12" s="4" t="s">
        <v>75</v>
      </c>
      <c r="C12" s="4" t="s">
        <v>72</v>
      </c>
      <c r="D12" s="6">
        <f>'01_固定資産台帳'!D12</f>
      </c>
      <c r="E12" s="15">
        <f>IF('05_回収可能価額の測定'!$I$7=0,0,D12/'05_回収可能価額の測定'!$I$7)</f>
      </c>
      <c r="F12" s="6">
        <f>'05_回収可能価額の測定'!$J$7*E12</f>
      </c>
      <c r="G12" s="6">
        <f>D12-F12</f>
      </c>
      <c r="H12" s="4" t="s">
        <v>64</v>
      </c>
    </row>
    <row r="13" spans="1:8" x14ac:dyDescent="0.25">
      <c r="A13" s="4" t="s">
        <v>76</v>
      </c>
      <c r="B13" s="4" t="s">
        <v>77</v>
      </c>
      <c r="C13" s="4" t="s">
        <v>72</v>
      </c>
      <c r="D13" s="6">
        <f>'01_固定資産台帳'!D13</f>
      </c>
      <c r="E13" s="15">
        <f>IF('05_回収可能価額の測定'!$I$7=0,0,D13/'05_回収可能価額の測定'!$I$7)</f>
      </c>
      <c r="F13" s="6">
        <f>'05_回収可能価額の測定'!$J$7*E13</f>
      </c>
      <c r="G13" s="6">
        <f>D13-F13</f>
      </c>
      <c r="H13" s="4" t="s">
        <v>64</v>
      </c>
    </row>
    <row r="14" spans="1:8" x14ac:dyDescent="0.25">
      <c r="A14" s="4" t="s">
        <v>78</v>
      </c>
      <c r="B14" s="4" t="s">
        <v>79</v>
      </c>
      <c r="C14" s="4" t="s">
        <v>72</v>
      </c>
      <c r="D14" s="6">
        <f>'01_固定資産台帳'!D14</f>
      </c>
      <c r="E14" s="15">
        <f>IF('05_回収可能価額の測定'!$I$7=0,0,D14/'05_回収可能価額の測定'!$I$7)</f>
      </c>
      <c r="F14" s="6">
        <f>'05_回収可能価額の測定'!$J$7*E14</f>
      </c>
      <c r="G14" s="6">
        <f>D14-F14</f>
      </c>
      <c r="H14" s="4" t="s">
        <v>80</v>
      </c>
    </row>
    <row r="15" spans="1:8" x14ac:dyDescent="0.25">
      <c r="A15" s="4" t="s">
        <v>81</v>
      </c>
      <c r="B15" s="4" t="s">
        <v>82</v>
      </c>
      <c r="C15" s="4" t="s">
        <v>83</v>
      </c>
      <c r="D15" s="6">
        <f>'01_固定資産台帳'!D15</f>
      </c>
      <c r="E15" s="15">
        <f>IF('05_回収可能価額の測定'!$I$8=0,0,D15/'05_回収可能価額の測定'!$I$8)</f>
      </c>
      <c r="F15" s="6">
        <f>'05_回収可能価額の測定'!$J$8*E15</f>
      </c>
      <c r="G15" s="6">
        <f>D15-F15</f>
      </c>
      <c r="H15" s="4" t="s">
        <v>84</v>
      </c>
    </row>
    <row r="16" spans="1:8" x14ac:dyDescent="0.25">
      <c r="A16" s="4" t="s">
        <v>85</v>
      </c>
      <c r="B16" s="4" t="s">
        <v>86</v>
      </c>
      <c r="C16" s="4" t="s">
        <v>83</v>
      </c>
      <c r="D16" s="6">
        <f>'01_固定資産台帳'!D16</f>
      </c>
      <c r="E16" s="15">
        <f>IF('05_回収可能価額の測定'!$I$8=0,0,D16/'05_回収可能価額の測定'!$I$8)</f>
      </c>
      <c r="F16" s="6">
        <f>'05_回収可能価額の測定'!$J$8*E16</f>
      </c>
      <c r="G16" s="6">
        <f>D16-F16</f>
      </c>
      <c r="H16" s="4" t="s">
        <v>64</v>
      </c>
    </row>
    <row r="17" spans="1:8" x14ac:dyDescent="0.25">
      <c r="A17" s="4" t="s">
        <v>87</v>
      </c>
      <c r="B17" s="4" t="s">
        <v>88</v>
      </c>
      <c r="C17" s="4" t="s">
        <v>83</v>
      </c>
      <c r="D17" s="6">
        <f>'01_固定資産台帳'!D17</f>
      </c>
      <c r="E17" s="15">
        <f>IF('05_回収可能価額の測定'!$I$8=0,0,D17/'05_回収可能価額の測定'!$I$8)</f>
      </c>
      <c r="F17" s="6">
        <f>'05_回収可能価額の測定'!$J$8*E17</f>
      </c>
      <c r="G17" s="6">
        <f>D17-F17</f>
      </c>
      <c r="H17" s="4" t="s">
        <v>64</v>
      </c>
    </row>
    <row r="18" spans="1:8" x14ac:dyDescent="0.25">
      <c r="A18" s="4" t="s">
        <v>89</v>
      </c>
      <c r="B18" s="4" t="s">
        <v>90</v>
      </c>
      <c r="C18" s="4" t="s">
        <v>83</v>
      </c>
      <c r="D18" s="6">
        <f>'01_固定資産台帳'!D18</f>
      </c>
      <c r="E18" s="15">
        <f>IF('05_回収可能価額の測定'!$I$8=0,0,D18/'05_回収可能価額の測定'!$I$8)</f>
      </c>
      <c r="F18" s="6">
        <f>'05_回収可能価額の測定'!$J$8*E18</f>
      </c>
      <c r="G18" s="6">
        <f>D18-F18</f>
      </c>
      <c r="H18" s="4" t="s">
        <v>91</v>
      </c>
    </row>
    <row r="19" spans="1:8" x14ac:dyDescent="0.25">
      <c r="A19" s="4" t="s">
        <v>92</v>
      </c>
      <c r="B19" s="4" t="s">
        <v>93</v>
      </c>
      <c r="C19" s="4" t="s">
        <v>94</v>
      </c>
      <c r="D19" s="6">
        <f>'01_固定資産台帳'!D19</f>
      </c>
      <c r="E19" s="15">
        <f>IF('05_回収可能価額の測定'!$I$9=0,0,D19/'05_回収可能価額の測定'!$I$9)</f>
      </c>
      <c r="F19" s="6">
        <f>'05_回収可能価額の測定'!$J$9*E19</f>
      </c>
      <c r="G19" s="6">
        <f>D19-F19</f>
      </c>
      <c r="H19" s="4" t="s">
        <v>64</v>
      </c>
    </row>
    <row r="20" spans="1:8" x14ac:dyDescent="0.25">
      <c r="A20" s="7" t="s">
        <v>64</v>
      </c>
      <c r="B20" s="7" t="s">
        <v>99</v>
      </c>
      <c r="C20" s="7" t="s">
        <v>64</v>
      </c>
      <c r="D20" s="8">
        <f>SUM(D6:D19)</f>
      </c>
      <c r="E20" s="7" t="s">
        <v>64</v>
      </c>
      <c r="F20" s="8">
        <f>SUM(F6:F19)</f>
      </c>
      <c r="G20" s="8">
        <f>SUM(G6:G19)</f>
      </c>
      <c r="H20" s="7" t="s">
        <v>64</v>
      </c>
    </row>
    <row r="21" spans="1:8" x14ac:dyDescent="0.25">
      <c r="A21" s="4" t="s">
        <v>64</v>
      </c>
      <c r="B21" s="4" t="s">
        <v>186</v>
      </c>
      <c r="C21" s="4" t="s">
        <v>64</v>
      </c>
      <c r="D21" s="4" t="s">
        <v>64</v>
      </c>
      <c r="E21" s="4" t="s">
        <v>64</v>
      </c>
      <c r="F21" s="6">
        <f>F20-'05_回収可能価額の測定'!J10</f>
      </c>
      <c r="G21" s="4" t="s">
        <v>64</v>
      </c>
      <c r="H21" s="4" t="s">
        <v>64</v>
      </c>
    </row>
    <row r="22" spans="1:8" x14ac:dyDescent="0.25">
      <c r="A22" s="4" t="s">
        <v>64</v>
      </c>
      <c r="B22" s="4" t="s">
        <v>187</v>
      </c>
      <c r="C22" s="4" t="s">
        <v>64</v>
      </c>
      <c r="D22" s="4" t="s">
        <v>64</v>
      </c>
      <c r="E22" s="4" t="s">
        <v>64</v>
      </c>
      <c r="F22" s="4">
        <f>IF(MIN(G6:G19)&lt;0,"⚠️ 負がある","OK")</f>
      </c>
      <c r="G22" s="4" t="s">
        <v>64</v>
      </c>
      <c r="H22" s="4" t="s">
        <v>64</v>
      </c>
    </row>
    <row r="24" spans="1:8" x14ac:dyDescent="0.25">
      <c r="A24" s="9" t="s">
        <v>188</v>
      </c>
      <c r="B24" s="9"/>
      <c r="C24" s="9"/>
      <c r="D24" s="9"/>
      <c r="E24" s="9"/>
      <c r="F24" s="9"/>
      <c r="G24" s="9"/>
      <c r="H24" s="9"/>
    </row>
  </sheetData>
  <mergeCells count="4">
    <mergeCell ref="A1:H1"/>
    <mergeCell ref="A2:H2"/>
    <mergeCell ref="A3:H3"/>
    <mergeCell ref="A24:H24"/>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FormatPr defaultRowHeight="15" outlineLevelRow="0" outlineLevelCol="0" x14ac:dyDescent="55"/>
  <cols>
    <col min="1" max="1" width="40" customWidth="1"/>
    <col min="2" max="3" width="16" customWidth="1"/>
    <col min="4" max="4" width="60" customWidth="1"/>
  </cols>
  <sheetData>
    <row r="1" spans="1:4" x14ac:dyDescent="0.25">
      <c r="A1" s="1" t="s">
        <v>0</v>
      </c>
      <c r="B1" s="1"/>
      <c r="C1" s="1"/>
      <c r="D1" s="1"/>
    </row>
    <row r="2" spans="1:4" x14ac:dyDescent="0.25">
      <c r="A2" s="1" t="s">
        <v>189</v>
      </c>
      <c r="B2" s="1"/>
      <c r="C2" s="1"/>
      <c r="D2" s="1"/>
    </row>
    <row r="3" spans="1:4" x14ac:dyDescent="0.25">
      <c r="A3" s="2" t="s">
        <v>2</v>
      </c>
      <c r="B3" s="2"/>
      <c r="C3" s="2"/>
      <c r="D3" s="2"/>
    </row>
    <row r="5" spans="1:4" x14ac:dyDescent="0.25">
      <c r="A5" s="3" t="s">
        <v>3</v>
      </c>
      <c r="B5" s="3" t="s">
        <v>190</v>
      </c>
      <c r="C5" s="3" t="s">
        <v>64</v>
      </c>
      <c r="D5" s="3" t="s">
        <v>191</v>
      </c>
    </row>
    <row r="6" spans="1:4" x14ac:dyDescent="0.25">
      <c r="A6" s="4" t="s">
        <v>192</v>
      </c>
      <c r="B6" s="6">
        <f>'05_回収可能価額の測定'!I6+'05_回収可能価額の測定'!I7+'05_回収可能価額の測定'!I8+480000</f>
      </c>
      <c r="C6" s="4" t="s">
        <v>64</v>
      </c>
      <c r="D6" s="4" t="s">
        <v>193</v>
      </c>
    </row>
    <row r="8" spans="1:4" x14ac:dyDescent="0.25">
      <c r="A8" s="3" t="s">
        <v>194</v>
      </c>
      <c r="B8" s="3" t="s">
        <v>195</v>
      </c>
      <c r="C8" s="3" t="s">
        <v>196</v>
      </c>
      <c r="D8" s="3" t="s">
        <v>197</v>
      </c>
    </row>
    <row r="9" spans="1:4" x14ac:dyDescent="0.25">
      <c r="A9" s="4" t="s">
        <v>136</v>
      </c>
      <c r="B9" s="5">
        <v>418400</v>
      </c>
      <c r="C9" s="17">
        <f>1/(1+$B$22)^1</f>
      </c>
      <c r="D9" s="6">
        <f>B9*C9</f>
      </c>
    </row>
    <row r="10" spans="1:4" x14ac:dyDescent="0.25">
      <c r="A10" s="4" t="s">
        <v>137</v>
      </c>
      <c r="B10" s="5">
        <v>413400</v>
      </c>
      <c r="C10" s="17">
        <f>1/(1+$B$22)^2</f>
      </c>
      <c r="D10" s="6">
        <f>B10*C10</f>
      </c>
    </row>
    <row r="11" spans="1:4" x14ac:dyDescent="0.25">
      <c r="A11" s="4" t="s">
        <v>138</v>
      </c>
      <c r="B11" s="5">
        <v>408400</v>
      </c>
      <c r="C11" s="17">
        <f>1/(1+$B$22)^3</f>
      </c>
      <c r="D11" s="6">
        <f>B11*C11</f>
      </c>
    </row>
    <row r="12" spans="1:4" x14ac:dyDescent="0.25">
      <c r="A12" s="4" t="s">
        <v>139</v>
      </c>
      <c r="B12" s="5">
        <v>398400</v>
      </c>
      <c r="C12" s="17">
        <f>1/(1+$B$22)^4</f>
      </c>
      <c r="D12" s="6">
        <f>B12*C12</f>
      </c>
    </row>
    <row r="13" spans="1:4" x14ac:dyDescent="0.25">
      <c r="A13" s="4" t="s">
        <v>140</v>
      </c>
      <c r="B13" s="5">
        <v>388400</v>
      </c>
      <c r="C13" s="17">
        <f>1/(1+$B$22)^5</f>
      </c>
      <c r="D13" s="6">
        <f>B13*C13</f>
      </c>
    </row>
    <row r="14" spans="1:4" x14ac:dyDescent="0.25">
      <c r="A14" s="4" t="s">
        <v>141</v>
      </c>
      <c r="B14" s="5">
        <v>378400</v>
      </c>
      <c r="C14" s="17">
        <f>1/(1+$B$22)^6</f>
      </c>
      <c r="D14" s="6">
        <f>B14*C14</f>
      </c>
    </row>
    <row r="15" spans="1:4" x14ac:dyDescent="0.25">
      <c r="A15" s="4" t="s">
        <v>142</v>
      </c>
      <c r="B15" s="5">
        <v>368400</v>
      </c>
      <c r="C15" s="17">
        <f>1/(1+$B$22)^7</f>
      </c>
      <c r="D15" s="6">
        <f>B15*C15</f>
      </c>
    </row>
    <row r="16" spans="1:4" x14ac:dyDescent="0.25">
      <c r="A16" s="4" t="s">
        <v>143</v>
      </c>
      <c r="B16" s="5">
        <v>358400</v>
      </c>
      <c r="C16" s="17">
        <f>1/(1+$B$22)^8</f>
      </c>
      <c r="D16" s="6">
        <f>B16*C16</f>
      </c>
    </row>
    <row r="17" spans="1:4" x14ac:dyDescent="0.25">
      <c r="A17" s="4" t="s">
        <v>144</v>
      </c>
      <c r="B17" s="5">
        <v>250000</v>
      </c>
      <c r="C17" s="17">
        <f>1/(1+$B$22)^9</f>
      </c>
      <c r="D17" s="6">
        <f>B17*C17</f>
      </c>
    </row>
    <row r="18" spans="1:4" x14ac:dyDescent="0.25">
      <c r="A18" s="4" t="s">
        <v>145</v>
      </c>
      <c r="B18" s="5">
        <v>240000</v>
      </c>
      <c r="C18" s="17">
        <f>1/(1+$B$22)^10</f>
      </c>
      <c r="D18" s="6">
        <f>B18*C18</f>
      </c>
    </row>
    <row r="19" spans="1:4" x14ac:dyDescent="0.25">
      <c r="A19" s="4" t="s">
        <v>146</v>
      </c>
      <c r="B19" s="5">
        <v>235000</v>
      </c>
      <c r="C19" s="17">
        <f>1/(1+$B$22)^11</f>
      </c>
      <c r="D19" s="6">
        <f>B19*C19</f>
      </c>
    </row>
    <row r="20" spans="1:4" x14ac:dyDescent="0.25">
      <c r="A20" s="4" t="s">
        <v>147</v>
      </c>
      <c r="B20" s="5">
        <v>230000</v>
      </c>
      <c r="C20" s="17">
        <f>1/(1+$B$22)^12</f>
      </c>
      <c r="D20" s="6">
        <f>B20*C20</f>
      </c>
    </row>
    <row r="21" spans="1:4" x14ac:dyDescent="0.25">
      <c r="A21" s="4" t="s">
        <v>156</v>
      </c>
      <c r="B21" s="5">
        <v>300000</v>
      </c>
      <c r="C21" s="17">
        <f>1/(1+$B$22)^12</f>
      </c>
      <c r="D21" s="6">
        <f>B21*C21</f>
      </c>
    </row>
    <row r="22" spans="1:4" x14ac:dyDescent="0.25">
      <c r="A22" s="4" t="s">
        <v>166</v>
      </c>
      <c r="B22" s="16">
        <v>0.055</v>
      </c>
      <c r="C22" s="4" t="s">
        <v>64</v>
      </c>
      <c r="D22" s="4" t="s">
        <v>198</v>
      </c>
    </row>
    <row r="23" spans="1:4" x14ac:dyDescent="0.25">
      <c r="A23" s="4" t="s">
        <v>157</v>
      </c>
      <c r="B23" s="6">
        <f>SUM(B9:B20)+B21</f>
      </c>
      <c r="C23" s="4" t="s">
        <v>64</v>
      </c>
      <c r="D23" s="4" t="s">
        <v>199</v>
      </c>
    </row>
    <row r="24" spans="1:4" x14ac:dyDescent="0.25">
      <c r="A24" s="4" t="s">
        <v>167</v>
      </c>
      <c r="B24" s="6">
        <f>SUM(D9:D20)+D21</f>
      </c>
      <c r="C24" s="4" t="s">
        <v>64</v>
      </c>
      <c r="D24" s="4" t="s">
        <v>200</v>
      </c>
    </row>
    <row r="25" spans="1:4" x14ac:dyDescent="0.25">
      <c r="A25" s="4" t="s">
        <v>168</v>
      </c>
      <c r="B25" s="6">
        <f>MAX(300000,B24)</f>
      </c>
      <c r="C25" s="4" t="s">
        <v>64</v>
      </c>
      <c r="D25" s="4" t="s">
        <v>201</v>
      </c>
    </row>
    <row r="26" spans="1:4" x14ac:dyDescent="0.25">
      <c r="A26" s="4" t="s">
        <v>202</v>
      </c>
      <c r="B26" s="4">
        <f>IF(B23&lt;B6,"認識する","認識しない")</f>
      </c>
      <c r="C26" s="4" t="s">
        <v>64</v>
      </c>
      <c r="D26" s="4" t="s">
        <v>203</v>
      </c>
    </row>
    <row r="27" spans="1:4" x14ac:dyDescent="0.25">
      <c r="A27" s="18" t="s">
        <v>204</v>
      </c>
      <c r="B27" s="19">
        <f>IF(B26="認識する",MAX(0,B6-B25),0)</f>
      </c>
      <c r="C27" s="18" t="s">
        <v>64</v>
      </c>
      <c r="D27" s="18" t="s">
        <v>64</v>
      </c>
    </row>
    <row r="28" spans="1:4" x14ac:dyDescent="0.25">
      <c r="A28" s="4" t="s">
        <v>205</v>
      </c>
      <c r="B28" s="6">
        <f>'05_回収可能価額の測定'!J6+'05_回収可能価額の測定'!J7+'05_回収可能価額の測定'!J8</f>
      </c>
      <c r="C28" s="4" t="s">
        <v>64</v>
      </c>
      <c r="D28" s="4" t="s">
        <v>206</v>
      </c>
    </row>
    <row r="29" spans="1:4" x14ac:dyDescent="0.25">
      <c r="A29" s="7" t="s">
        <v>207</v>
      </c>
      <c r="B29" s="8">
        <f>MAX(0,B27-B28)</f>
      </c>
      <c r="C29" s="7" t="s">
        <v>64</v>
      </c>
      <c r="D29" s="7" t="s">
        <v>64</v>
      </c>
    </row>
    <row r="31" spans="1:4" x14ac:dyDescent="0.25">
      <c r="A31" s="3" t="s">
        <v>208</v>
      </c>
      <c r="B31" s="3" t="s">
        <v>190</v>
      </c>
      <c r="C31" s="3" t="s">
        <v>64</v>
      </c>
      <c r="D31" s="3" t="s">
        <v>191</v>
      </c>
    </row>
    <row r="32" spans="1:4" x14ac:dyDescent="0.25">
      <c r="A32" s="4" t="s">
        <v>209</v>
      </c>
      <c r="B32" s="6">
        <f>480000-300000</f>
      </c>
      <c r="C32" s="4" t="s">
        <v>64</v>
      </c>
      <c r="D32" s="4" t="s">
        <v>210</v>
      </c>
    </row>
    <row r="33" spans="1:4" x14ac:dyDescent="0.25">
      <c r="A33" s="4" t="s">
        <v>211</v>
      </c>
      <c r="B33" s="6">
        <f>MIN(B29,B32)</f>
      </c>
      <c r="C33" s="4" t="s">
        <v>64</v>
      </c>
      <c r="D33" s="4" t="s">
        <v>64</v>
      </c>
    </row>
    <row r="34" spans="1:4" x14ac:dyDescent="0.25">
      <c r="A34" s="4" t="s">
        <v>212</v>
      </c>
      <c r="B34" s="6">
        <f>B29-B33</f>
      </c>
      <c r="C34" s="4" t="s">
        <v>64</v>
      </c>
      <c r="D34" s="4" t="s">
        <v>213</v>
      </c>
    </row>
    <row r="36" spans="1:4" x14ac:dyDescent="0.25">
      <c r="A36" s="3" t="s">
        <v>214</v>
      </c>
      <c r="B36" s="3" t="s">
        <v>215</v>
      </c>
      <c r="C36" s="3" t="s">
        <v>168</v>
      </c>
      <c r="D36" s="3" t="s">
        <v>216</v>
      </c>
    </row>
    <row r="37" spans="1:4" x14ac:dyDescent="0.25">
      <c r="A37" s="4" t="s">
        <v>217</v>
      </c>
      <c r="B37" s="6">
        <f>'05_回収可能価額の測定'!I6-'05_回収可能価額の測定'!J6</f>
      </c>
      <c r="C37" s="6">
        <f>'05_回収可能価額の測定'!G6</f>
      </c>
      <c r="D37" s="6">
        <f>MAX(0,B37-C37)</f>
      </c>
    </row>
    <row r="38" spans="1:4" x14ac:dyDescent="0.25">
      <c r="A38" s="4" t="s">
        <v>218</v>
      </c>
      <c r="B38" s="6">
        <f>'05_回収可能価額の測定'!I7-'05_回収可能価額の測定'!J7</f>
      </c>
      <c r="C38" s="6">
        <f>'05_回収可能価額の測定'!G7</f>
      </c>
      <c r="D38" s="6">
        <f>MAX(0,B38-C38)</f>
      </c>
    </row>
    <row r="39" spans="1:4" x14ac:dyDescent="0.25">
      <c r="A39" s="4" t="s">
        <v>219</v>
      </c>
      <c r="B39" s="6">
        <f>'05_回収可能価額の測定'!I8-'05_回収可能価額の測定'!J8</f>
      </c>
      <c r="C39" s="6">
        <f>'05_回収可能価額の測定'!G8</f>
      </c>
      <c r="D39" s="6">
        <f>MAX(0,B39-C39)</f>
      </c>
    </row>
    <row r="40" spans="1:4" x14ac:dyDescent="0.25">
      <c r="A40" s="18" t="s">
        <v>220</v>
      </c>
      <c r="B40" s="18" t="s">
        <v>64</v>
      </c>
      <c r="C40" s="18" t="s">
        <v>64</v>
      </c>
      <c r="D40" s="19">
        <f>SUM(D37:D39)</f>
      </c>
    </row>
    <row r="41" spans="1:4" x14ac:dyDescent="0.25">
      <c r="A41" s="4" t="s">
        <v>221</v>
      </c>
      <c r="B41" s="6">
        <f>MIN(B34,D40)</f>
      </c>
      <c r="C41" s="4" t="s">
        <v>64</v>
      </c>
      <c r="D41" s="4" t="s">
        <v>222</v>
      </c>
    </row>
    <row r="42" spans="1:4" x14ac:dyDescent="0.25">
      <c r="A42" s="7" t="s">
        <v>223</v>
      </c>
      <c r="B42" s="8">
        <f>B34-B41</f>
      </c>
      <c r="C42" s="7" t="s">
        <v>64</v>
      </c>
      <c r="D42" s="7" t="s">
        <v>224</v>
      </c>
    </row>
    <row r="44" spans="1:4" x14ac:dyDescent="0.25">
      <c r="A44" s="7" t="s">
        <v>225</v>
      </c>
      <c r="B44" s="8">
        <f>'05_回収可能価額の測定'!J10+B33+B41</f>
      </c>
      <c r="C44" s="7" t="s">
        <v>64</v>
      </c>
      <c r="D44" s="7" t="s">
        <v>226</v>
      </c>
    </row>
    <row r="46" spans="1:4" x14ac:dyDescent="0.25">
      <c r="A46" s="9" t="s">
        <v>227</v>
      </c>
      <c r="B46" s="9"/>
      <c r="C46" s="9"/>
      <c r="D46" s="9"/>
    </row>
    <row r="47" spans="1:4" x14ac:dyDescent="0.25">
      <c r="A47" s="9" t="s">
        <v>228</v>
      </c>
      <c r="B47" s="9"/>
      <c r="C47" s="9"/>
      <c r="D47" s="9"/>
    </row>
    <row r="48" spans="1:4" x14ac:dyDescent="0.25">
      <c r="A48" s="9" t="s">
        <v>229</v>
      </c>
      <c r="B48" s="9"/>
      <c r="C48" s="9"/>
      <c r="D48" s="9"/>
    </row>
  </sheetData>
  <mergeCells count="6">
    <mergeCell ref="A1:D1"/>
    <mergeCell ref="A2:D2"/>
    <mergeCell ref="A3:D3"/>
    <mergeCell ref="A46:D46"/>
    <mergeCell ref="A47:D47"/>
    <mergeCell ref="A48:D48"/>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FormatPr defaultRowHeight="15" outlineLevelRow="0" outlineLevelCol="0" x14ac:dyDescent="55"/>
  <cols>
    <col min="1" max="1" width="40" customWidth="1"/>
    <col min="2" max="2" width="18" customWidth="1"/>
    <col min="3" max="3" width="56" customWidth="1"/>
  </cols>
  <sheetData>
    <row r="1" spans="1:3" x14ac:dyDescent="0.25">
      <c r="A1" s="1" t="s">
        <v>0</v>
      </c>
      <c r="B1" s="1"/>
      <c r="C1" s="1"/>
    </row>
    <row r="2" spans="1:3" x14ac:dyDescent="0.25">
      <c r="A2" s="1" t="s">
        <v>42</v>
      </c>
      <c r="B2" s="1"/>
      <c r="C2" s="1"/>
    </row>
    <row r="3" spans="1:3" x14ac:dyDescent="0.25">
      <c r="A3" s="2" t="s">
        <v>2</v>
      </c>
      <c r="B3" s="2"/>
      <c r="C3" s="2"/>
    </row>
    <row r="5" spans="1:3" x14ac:dyDescent="0.25">
      <c r="A5" s="3" t="s">
        <v>3</v>
      </c>
      <c r="B5" s="3" t="s">
        <v>190</v>
      </c>
      <c r="C5" s="3" t="s">
        <v>191</v>
      </c>
    </row>
    <row r="6" spans="1:3" x14ac:dyDescent="0.25">
      <c r="A6" s="4" t="s">
        <v>230</v>
      </c>
      <c r="B6" s="6">
        <f>'07_共用資産（より大きな単位）'!B44</f>
      </c>
      <c r="C6" s="4" t="s">
        <v>231</v>
      </c>
    </row>
    <row r="7" spans="1:3" x14ac:dyDescent="0.25">
      <c r="A7" s="4" t="s">
        <v>232</v>
      </c>
      <c r="B7" s="5">
        <v>0</v>
      </c>
      <c r="C7" s="4" t="s">
        <v>233</v>
      </c>
    </row>
    <row r="8" spans="1:3" x14ac:dyDescent="0.25">
      <c r="A8" s="18" t="s">
        <v>234</v>
      </c>
      <c r="B8" s="19">
        <f>B6-B7</f>
      </c>
      <c r="C8" s="18" t="s">
        <v>235</v>
      </c>
    </row>
    <row r="9" spans="1:3" x14ac:dyDescent="0.25">
      <c r="A9" s="4" t="s">
        <v>236</v>
      </c>
      <c r="B9" s="16">
        <v>0.3062</v>
      </c>
      <c r="C9" s="4" t="s">
        <v>237</v>
      </c>
    </row>
    <row r="10" spans="1:3" x14ac:dyDescent="0.25">
      <c r="A10" s="4" t="s">
        <v>238</v>
      </c>
      <c r="B10" s="6">
        <f>B8*B9</f>
      </c>
      <c r="C10" s="4" t="s">
        <v>239</v>
      </c>
    </row>
    <row r="12" spans="1:3" x14ac:dyDescent="0.25">
      <c r="A12" s="9" t="s">
        <v>240</v>
      </c>
      <c r="B12" s="9"/>
      <c r="C12" s="9"/>
    </row>
    <row r="13" spans="1:3" x14ac:dyDescent="0.25">
      <c r="A13" s="9" t="s">
        <v>241</v>
      </c>
      <c r="B13" s="9"/>
      <c r="C13" s="9"/>
    </row>
  </sheetData>
  <mergeCells count="5">
    <mergeCell ref="A1:C1"/>
    <mergeCell ref="A2:C2"/>
    <mergeCell ref="A3:C3"/>
    <mergeCell ref="A12:C12"/>
    <mergeCell ref="A13:C13"/>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00_この表について</vt:lpstr>
      <vt:lpstr>01_固定資産台帳</vt:lpstr>
      <vt:lpstr>02_グルーピング表</vt:lpstr>
      <vt:lpstr>03_兆候の判定</vt:lpstr>
      <vt:lpstr>04_認識の判定（割引前）</vt:lpstr>
      <vt:lpstr>05_回収可能価額の測定</vt:lpstr>
      <vt:lpstr>06_構成資産への配分</vt:lpstr>
      <vt:lpstr>07_共用資産（より大きな単位）</vt:lpstr>
      <vt:lpstr>08_税効果</vt:lpstr>
      <vt:lpstr>09_重要な判断の記録</vt:lpstr>
      <vt:lpstr>10_検算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dc:creator>
  <dc:title/>
  <dc:subject/>
  <dc:description/>
  <cp:keywords/>
  <cp:category/>
  <cp:lastModifiedBy>BENTO</cp:lastModifiedBy>
  <dcterms:created xsi:type="dcterms:W3CDTF">2026-09-11T07:48:47Z</dcterms:created>
  <dcterms:modified xsi:type="dcterms:W3CDTF">2026-09-11T07:48:47Z</dcterms:modified>
</cp:coreProperties>
</file>