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00_この表について" state="visible" r:id="rId4"/>
    <sheet sheetId="2" name="01_リース契約棚卸表" state="visible" r:id="rId5"/>
    <sheet sheetId="3" name="02_識別・免除の判定" state="visible" r:id="rId6"/>
    <sheet sheetId="4" name="03_リース期間と割引率" state="visible" r:id="rId7"/>
    <sheet sheetId="5" name="04_移行日の算定" state="visible" r:id="rId8"/>
    <sheet sheetId="6" name="05_償却スケジュール" state="visible" r:id="rId9"/>
    <sheet sheetId="7" name="06_累積的影響額と仕訳" state="visible" r:id="rId10"/>
    <sheet sheetId="8" name="07_差額説明表" state="visible" r:id="rId11"/>
    <sheet sheetId="9" name="08_リース台帳" state="visible" r:id="rId12"/>
    <sheet sheetId="10" name="09_税効果" state="visible" r:id="rId13"/>
    <sheet sheetId="11" name="10_重要な判断の記録" state="visible" r:id="rId14"/>
    <sheet sheetId="12" name="11_検算" state="visible" r:id="rId15"/>
  </sheets>
  <calcPr calcId="171027"/>
</workbook>
</file>

<file path=xl/sharedStrings.xml><?xml version="1.0" encoding="utf-8"?>
<sst xmlns="http://schemas.openxmlformats.org/spreadsheetml/2006/main" count="513" uniqueCount="282">
  <si>
    <t>サンプル製造株式会社　新リース会計基準への移行</t>
  </si>
  <si>
    <t>この表について</t>
  </si>
  <si>
    <t>単位：千円　／　黄＝入力（差し替える箇所）　緑＝人が判断する箇所（AIが埋めてはいけない）　白＝Excelの数式</t>
  </si>
  <si>
    <t>項目</t>
  </si>
  <si>
    <t>内容</t>
  </si>
  <si>
    <t>準拠する基準</t>
  </si>
  <si>
    <t>企業会計基準第34号「リースに関する会計基準」（2024年9月13日公表）</t>
  </si>
  <si>
    <t>適用指針</t>
  </si>
  <si>
    <t>企業会計基準適用指針第33号「リースに関する会計基準の適用指針」（2024年9月13日公表）</t>
  </si>
  <si>
    <t>旧基準の扱い</t>
  </si>
  <si>
    <t>旧基準＝企業会計基準第13号「リース取引に関する会計基準」・同適用指針第16号。第34号の適用によりこれらの適用を終了する。</t>
  </si>
  <si>
    <t>適用時期</t>
  </si>
  <si>
    <t>2027年4月1日以後開始する連結会計年度および事業年度の期首から適用。2025年4月1日以後開始する事業年度の期首から早期適用できる。</t>
  </si>
  <si>
    <t>⚠️ 番号の誤り</t>
  </si>
  <si>
    <t>⚠️ リースを「企業会計基準第28号」と書くのは誤り。第28号は『税効果会計に係る会計基準』の一部改正である。</t>
  </si>
  <si>
    <t>⚠️ 経過措置の項番</t>
  </si>
  <si>
    <t>⚠️ 移行に関する経過措置の具体的な項番は、本サンプルでは一次資料で確認できていないため記載していない（要確認）。適用にあたっては適用指針の移行に関する定めを原文で確認すること。項番を推測で書かないこと。</t>
  </si>
  <si>
    <t>本サンプルの前提</t>
  </si>
  <si>
    <t>本サンプルは早期適用を選択し、移行日を2026年4月1日（2027年3月期の期首）とした場合の算定である。</t>
  </si>
  <si>
    <t>移行日</t>
  </si>
  <si>
    <t>2026年4月1日</t>
  </si>
  <si>
    <t>単位</t>
  </si>
  <si>
    <t>本パックの金額は全て千円。契約単位の明細を扱うため百万円だと丸めで検算が合わなくなる。連携出力シートでのみ百万円へ換算する。</t>
  </si>
  <si>
    <t>色の意味</t>
  </si>
  <si>
    <t>黄＝入力（自社の数値に差し替える）／緑＝人が判断する箇所（AIが埋めてはいけない）／白＝数式</t>
  </si>
  <si>
    <t>シート</t>
  </si>
  <si>
    <t>役割</t>
  </si>
  <si>
    <t>01_リース契約棚卸表</t>
  </si>
  <si>
    <t>母集団を確定する。外した契約と理由もここに残す</t>
  </si>
  <si>
    <t>02_識別・免除の判定</t>
  </si>
  <si>
    <t>リースに該当するか、免除規定を適用するかを1件ずつ判定する</t>
  </si>
  <si>
    <t>03_リース期間と割引率</t>
  </si>
  <si>
    <t>リース期間と、それに対応する追加借入利子率を割り当てる</t>
  </si>
  <si>
    <t>04_移行日の算定</t>
  </si>
  <si>
    <t>移行日のリース負債と使用権資産を契約ごとに計算する</t>
  </si>
  <si>
    <t>05_償却スケジュール</t>
  </si>
  <si>
    <t>1契約の月次の償却表。Σ支払−当初負債＝Σ利息、最終月残高＝0 を確かめる</t>
  </si>
  <si>
    <t>06_累積的影響額と仕訳</t>
  </si>
  <si>
    <t>移行による累積的影響額と、移行日の仕訳</t>
  </si>
  <si>
    <t>07_差額説明表</t>
  </si>
  <si>
    <t>前期末の未経過リース料から期首リース負債への橋渡し</t>
  </si>
  <si>
    <t>08_リース台帳</t>
  </si>
  <si>
    <t>使用権資産・リース負債の増減明細（適用後の各期に使う）</t>
  </si>
  <si>
    <t>09_税効果</t>
  </si>
  <si>
    <t>移行による一時差異と繰延税金</t>
  </si>
  <si>
    <t>10_重要な判断の記録</t>
  </si>
  <si>
    <t>重要な判断の記録。監査人・後任者に説明するための紙</t>
  </si>
  <si>
    <t>11_検算</t>
  </si>
  <si>
    <t>検算を1か所に集めたもの。ここが全て0なら計算は閉じている</t>
  </si>
  <si>
    <t>リース契約棚卸表（母集団）</t>
  </si>
  <si>
    <t>ID</t>
  </si>
  <si>
    <t>契約名</t>
  </si>
  <si>
    <t>原資産の種類</t>
  </si>
  <si>
    <t>旧基準の分類</t>
  </si>
  <si>
    <t>残存月数</t>
  </si>
  <si>
    <t>月額リース料</t>
  </si>
  <si>
    <t>支払</t>
  </si>
  <si>
    <t>前払</t>
  </si>
  <si>
    <t>未払</t>
  </si>
  <si>
    <t>割引前総額</t>
  </si>
  <si>
    <t>備考</t>
  </si>
  <si>
    <t>L-01</t>
  </si>
  <si>
    <t>本社オフィス賃借</t>
  </si>
  <si>
    <t>不動産</t>
  </si>
  <si>
    <t>オペレーティング</t>
  </si>
  <si>
    <t>契約期間5年・更新条項あり。更新の経済的インセンティブを検討し、当初契約期間のみをリース期間とした</t>
  </si>
  <si>
    <t>L-02</t>
  </si>
  <si>
    <t>第二工場 建屋賃借</t>
  </si>
  <si>
    <t>解約不能期間8年。生産設備を据え付けており移設コストが大きいため、延長オプションの行使が合理的に確実と判断</t>
  </si>
  <si>
    <t>L-03</t>
  </si>
  <si>
    <t>生産設備A（所有権移転外ファイナンス・リース）</t>
  </si>
  <si>
    <t>機械装置</t>
  </si>
  <si>
    <t>ファイナンス</t>
  </si>
  <si>
    <t>後払</t>
  </si>
  <si>
    <t>旧基準で既にオンバランスしている。移行時は旧リース資産・リース債務の帳簿価額をそのまま引き継ぎ、算定し直さない（経過措置）。したがって移行による影響は生じない。</t>
  </si>
  <si>
    <t>L-04</t>
  </si>
  <si>
    <t>生産設備B</t>
  </si>
  <si>
    <t>旧基準ではオペレーティング・リースとして注記のみ</t>
  </si>
  <si>
    <t>L-05</t>
  </si>
  <si>
    <t>営業車両（5台）</t>
  </si>
  <si>
    <t>車両運搬具</t>
  </si>
  <si>
    <t>同種・同条件のため1契約として集約（ポートフォリオ適用）</t>
  </si>
  <si>
    <t>L-06</t>
  </si>
  <si>
    <t>複合機（本社・工場計6台）</t>
  </si>
  <si>
    <t>工具器具備品</t>
  </si>
  <si>
    <t>対価総額2,040千円で少額リースの基準（3,000千円）以下。免除規定を適用し、リース料を費用処理する</t>
  </si>
  <si>
    <t>L-07</t>
  </si>
  <si>
    <t>サーバー・ネットワーク機器</t>
  </si>
  <si>
    <t>対価総額3,780千円で少額の基準を超えるためオンバランス</t>
  </si>
  <si>
    <t>L-08</t>
  </si>
  <si>
    <t>臨時倉庫（繁忙期対応）</t>
  </si>
  <si>
    <t>リース開始日におけるリース期間が10か月で購入オプションも無いため短期リース。⚠️ 移行日時点の残存期間ではなく開始日のリース期間で判定する</t>
  </si>
  <si>
    <t/>
  </si>
  <si>
    <t>合計</t>
  </si>
  <si>
    <t>母集団から外した契約</t>
  </si>
  <si>
    <t>外した理由</t>
  </si>
  <si>
    <t>クラウドサービス利用料（SaaS）</t>
  </si>
  <si>
    <t>特定された資産を使用する権利ではなく、サービスの提供を受ける契約であるためリースに該当しない。ただし専用設備が割り当てられている契約は別途検討が要る</t>
  </si>
  <si>
    <t>保守契約・警備契約</t>
  </si>
  <si>
    <t>資産の使用を伴わない役務提供契約</t>
  </si>
  <si>
    <t>駐車場（月極・区画指定なし）</t>
  </si>
  <si>
    <t>特定の区画が指定されておらず、貸手が代替できるため、特定された資産に該当しない</t>
  </si>
  <si>
    <t>電力受給契約</t>
  </si>
  <si>
    <t>資産そのものの使用を支配していない</t>
  </si>
  <si>
    <t>【識別の考え方】リースの識別は「特定された資産があるか」「その資産の使用による経済的利益のほとんど全てを享受するか」「使用を指図する権利を有するか」の3要件で判定する。母集団から外した契約と、その理由を残すことが網羅性の説明になる。</t>
  </si>
  <si>
    <t>⚠️ 網羅性は「何を入れたか」ではなく「何を外したか」で説明する。契約管理台帳・勘定元帳の賃借料・支払データの3方向から母集団を作り、突合した差異を潰すこと。</t>
  </si>
  <si>
    <t>リースの識別と免除規定の判定</t>
  </si>
  <si>
    <t>短期リースの基準（月）</t>
  </si>
  <si>
    <t>少額リースの基準（千円・対価総額）</t>
  </si>
  <si>
    <t>①特定された資産</t>
  </si>
  <si>
    <t>②経済的利益</t>
  </si>
  <si>
    <t>③使用の指図</t>
  </si>
  <si>
    <t>リース該当</t>
  </si>
  <si>
    <t>対価総額</t>
  </si>
  <si>
    <t>短期に該当</t>
  </si>
  <si>
    <t>少額に該当</t>
  </si>
  <si>
    <t>結論（オンバランス／免除）</t>
  </si>
  <si>
    <t>○</t>
  </si>
  <si>
    <t>【免除規定】短期リースは移行日時点の残存期間ではなく、リース開始日におけるリース期間が12か月以内であるかで判定する。少額リースの判定は、原資産の新品時の価値による方法と、リース料総額による方法のいずれかを選択し、選択した方法を継続適用する。本サンプルは対価総額3,000千円以下を基準とした。⚠️ 2つの方法の併用はできない。</t>
  </si>
  <si>
    <t>⚠️ ①〜③（緑）は人が判断する箇所。契約書を読んで決めること。ここを機械的に「○」で埋めると、リースでないものをオンバランスしたり、その逆をやったりする。</t>
  </si>
  <si>
    <t>⚠️ 短期リースは「移行日時点の残存期間」ではなく「リース開始日におけるリース期間」で判定する。この表のH列は残存月数で当たりを付けているだけなので、開始日のリース期間で必ず確かめ直すこと。</t>
  </si>
  <si>
    <t>リース期間と割引率（借手の追加借入利子率）</t>
  </si>
  <si>
    <t>年限（月まで）</t>
  </si>
  <si>
    <t>年率</t>
  </si>
  <si>
    <t>根拠</t>
  </si>
  <si>
    <t>同年限の当社の借入実行金利（2026年3月時点）</t>
  </si>
  <si>
    <t>同上</t>
  </si>
  <si>
    <t>同上。5年超は長期プライムレートに信用スプレッドを加算</t>
  </si>
  <si>
    <t>適用する年率</t>
  </si>
  <si>
    <t>月利</t>
  </si>
  <si>
    <t>引継ぎか</t>
  </si>
  <si>
    <t>—</t>
  </si>
  <si>
    <t>引継ぎ</t>
  </si>
  <si>
    <t>⚠️ 引き継いだ残高は旧基準の利率に基づく。現在の追加借入利子率を当てると最終月の残高が0にならない</t>
  </si>
  <si>
    <t>【割引率】貸手の計算利子率を知り得ないため、借手の追加借入利子率を用いる。年限別に設定し、契約の残存期間で割り当てる。年率から月利への換算は (1+年率)^(1/12)−1 による。単純に12で割る方法もあるので、採用した方法を明示すること。</t>
  </si>
  <si>
    <t>移行日のリース負債と使用権資産</t>
  </si>
  <si>
    <t>扱い</t>
  </si>
  <si>
    <t>リース負債</t>
  </si>
  <si>
    <t>利息総額</t>
  </si>
  <si>
    <t>前払−未払</t>
  </si>
  <si>
    <t>使用権資産</t>
  </si>
  <si>
    <t>旧残高の純額</t>
  </si>
  <si>
    <t>移行影響</t>
  </si>
  <si>
    <t>加重平均の追加借入利子率</t>
  </si>
  <si>
    <t>注記で開示する。リース負債で加重する</t>
  </si>
  <si>
    <t>使用権資産は「リース負債＋前払リース料−未払リース料」による簡便な方法で算定している。遡及して当初計上額から算定する方法を採る場合は、開始日まで遡った資料が要る。どちらを採ったかを 10_重要な判断の記録 に残すこと。</t>
  </si>
  <si>
    <t>⚠️ 免除規定を適用した契約が計算に混入していないことを 11_検算 で確かめている。判定シートの結論を参照しているので、判定を変えるとここも連動する。</t>
  </si>
  <si>
    <t>リース負債の償却スケジュール（L-03 生産設備A（所有権移転外ファイナンス・リース））</t>
  </si>
  <si>
    <t>当初リース負債</t>
  </si>
  <si>
    <t>支払方法</t>
  </si>
  <si>
    <t>月</t>
  </si>
  <si>
    <t>期首残高</t>
  </si>
  <si>
    <t>利息費用</t>
  </si>
  <si>
    <t>支払額</t>
  </si>
  <si>
    <t>期末残高</t>
  </si>
  <si>
    <t>検算</t>
  </si>
  <si>
    <t>差額</t>
  </si>
  <si>
    <t>判定</t>
  </si>
  <si>
    <t>Σ支払額 − 当初負債 − Σ利息費用 ＝ 0</t>
  </si>
  <si>
    <t>最終月の期末残高 ＝ 0</t>
  </si>
  <si>
    <t>⚠️ この契約は帳簿価額を引き継いでいる。引き継いだ残高は旧基準の利率に基づくので、現在の追加借入利子率（1%）を当てると最終月の残高が0にならない。03シートで RATE() により逆算した利率を使っている。</t>
  </si>
  <si>
    <t>移行による累積的影響額と移行日の仕訳</t>
  </si>
  <si>
    <t>金額</t>
  </si>
  <si>
    <t>説明</t>
  </si>
  <si>
    <t>使用権資産の計上</t>
  </si>
  <si>
    <t>04_移行日の算定 の合計</t>
  </si>
  <si>
    <t>リース負債の計上</t>
  </si>
  <si>
    <t>− 前払リース料・未払リース料の振替</t>
  </si>
  <si>
    <r>
      <rPr>
        <color rgb="FF1A1A1F"/>
        <sz val="10"/>
        <rFont val="Yu Gothic"/>
      </rPr>
      <t>⚠️ 前払リース料は移行前から資産に計上されている。使用権資産へ振り替えるだけで</t>
    </r>
    <r>
      <rPr>
        <b/>
        <color rgb="FF1A1A1F"/>
        <sz val="10"/>
        <rFont val="Yu Gothic"/>
      </rPr>
      <t>純資産は動かない</t>
    </r>
    <r>
      <rPr>
        <color rgb="FF1A1A1F"/>
        <sz val="10"/>
        <rFont val="Yu Gothic"/>
      </rPr>
      <t>。ここを引かないと、前払の額をそのまま純資産への影響として数えてしまう</t>
    </r>
  </si>
  <si>
    <t>旧基準で計上していた資産・負債の純額の消去</t>
  </si>
  <si>
    <t>旧ファイナンス・リースのリース資産−リース債務</t>
  </si>
  <si>
    <t>累積的影響額（税引前）</t>
  </si>
  <si>
    <t>期首利益剰余金に加減する額（税効果考慮前）。簡便法では、旧基準でオンバランスしていた契約を算定し直す場合を除き0になる</t>
  </si>
  <si>
    <t>実効税率</t>
  </si>
  <si>
    <t>⚠️ 税務上の取扱いは税理士の確認を要する</t>
  </si>
  <si>
    <t>税効果</t>
  </si>
  <si>
    <t>＝累積的影響額×実効税率（符号は逆）</t>
  </si>
  <si>
    <t>期首利益剰余金への影響（税効果後）</t>
  </si>
  <si>
    <t>移行日の仕訳</t>
  </si>
  <si>
    <t>借方／貸方</t>
  </si>
  <si>
    <t>借方</t>
  </si>
  <si>
    <t>貸方</t>
  </si>
  <si>
    <t>旧リース資産（消去）</t>
  </si>
  <si>
    <t>繰延税金資産／負債</t>
  </si>
  <si>
    <t>繰越利益剰余金</t>
  </si>
  <si>
    <t>【税効果】移行による使用権資産とリース負債は税務上認識されないため一時差異が生じる。使用権資産は将来加算一時差異、リース負債は将来減算一時差異となり、両建てで発生するが解消時期が異なる点に留意する。⚠️ 税務上の取扱いは税理士の確認を要する。本サンプルでは差異の所在を示すに留める。</t>
  </si>
  <si>
    <t>前期末の未経過リース料 → 期首リース負債 の差額説明</t>
  </si>
  <si>
    <t>A 前期末の未経過リース料（旧基準の注記額）</t>
  </si>
  <si>
    <t>旧基準でオペレーティング・リースとして注記していた額</t>
  </si>
  <si>
    <t>B 免除規定を適用する契約の除外</t>
  </si>
  <si>
    <t>短期リース・少額リース</t>
  </si>
  <si>
    <t>C リース期間の見直しによる増減</t>
  </si>
  <si>
    <t>延長オプションの評価を反映した差</t>
  </si>
  <si>
    <t>D 割引の影響（△）</t>
  </si>
  <si>
    <t>算定し直した契約の、割引前総額と現在価値の差＝将来の利息費用。引継ぎ契約の分は含めない</t>
  </si>
  <si>
    <t>E 旧ファイナンス・リースの引継ぎ</t>
  </si>
  <si>
    <t>旧基準で既にオンバランスしていた債務</t>
  </si>
  <si>
    <t>＝ 期首リース負債（A+B+C+D+E）</t>
  </si>
  <si>
    <t>（照合）04_移行日の算定 の合計</t>
  </si>
  <si>
    <t>差額（0になること）</t>
  </si>
  <si>
    <t>⚠️ この表は読み手（監査人・投資家）が最初に見る。前期末に注記していた金額から期首の負債までを、途中の増減を示して橋渡しする。差額が説明できないと、母集団か算定のどちらかが間違っている。</t>
  </si>
  <si>
    <t>リース台帳（使用権資産・リース負債の増減明細）</t>
  </si>
  <si>
    <t>期首</t>
  </si>
  <si>
    <t>増加</t>
  </si>
  <si>
    <t>減少</t>
  </si>
  <si>
    <t>期末</t>
  </si>
  <si>
    <t>使用権資産（取得価額）</t>
  </si>
  <si>
    <t>減価償却累計額</t>
  </si>
  <si>
    <t>使用権資産（帳簿価額）</t>
  </si>
  <si>
    <t>＝取得価額−減価償却累計額</t>
  </si>
  <si>
    <t>原資産の種類別 内訳（期首）</t>
  </si>
  <si>
    <t>注記では原資産の種類ごとの使用権資産の帳簿価額と減価償却費を開示する。移行後は各期の増加・減少をこの台帳で追う。</t>
  </si>
  <si>
    <t>移行に伴う一時差異と繰延税金</t>
  </si>
  <si>
    <t>会計上の金額</t>
  </si>
  <si>
    <t>税務上の金額</t>
  </si>
  <si>
    <t>税務上は資産として認識されない → 将来加算一時差異</t>
  </si>
  <si>
    <t>税務上は負債として認識されない → 将来減算一時差異</t>
  </si>
  <si>
    <t>一時差異</t>
  </si>
  <si>
    <t>区分</t>
  </si>
  <si>
    <t>使用権資産に係るもの</t>
  </si>
  <si>
    <t>将来加算</t>
  </si>
  <si>
    <t>繰延税金負債</t>
  </si>
  <si>
    <t>リース負債に係るもの</t>
  </si>
  <si>
    <t>将来減算</t>
  </si>
  <si>
    <t>繰延税金資産</t>
  </si>
  <si>
    <t>純額</t>
  </si>
  <si>
    <t>⚠️ 両建てで発生するが解消時期が異なる。相殺して純額だけで回収可能性を判断しないこと</t>
  </si>
  <si>
    <t>繰延税金（純額）</t>
  </si>
  <si>
    <t>＝一時差異の純額×実効税率</t>
  </si>
  <si>
    <t>移行による使用権資産とリース負債は税務上認識されないため一時差異が生じる。使用権資産は将来加算一時差異、リース負債は将来減算一時差異となり、両建てで発生するが解消時期が異なる点に留意する。⚠️ 税務上の取扱いは税理士の確認を要する。本サンプルでは差異の所在を示すに留める。</t>
  </si>
  <si>
    <t>⚠️ 本サンプルは差異の所在を示すに留めている。繰延税金資産の回収可能性（企業の分類・スケジューリング）の判断は税効果の調書で行う。</t>
  </si>
  <si>
    <t>重要な判断の記録</t>
  </si>
  <si>
    <t>論点</t>
  </si>
  <si>
    <t>採用した扱い</t>
  </si>
  <si>
    <t>そう判断した理由</t>
  </si>
  <si>
    <t>他の扱いを採った場合の影響</t>
  </si>
  <si>
    <t>決裁</t>
  </si>
  <si>
    <t>リース期間に延長オプションを含めるか</t>
  </si>
  <si>
    <t>L-02のみ含めた</t>
  </si>
  <si>
    <t>生産設備を据え付けており移設コストが大きく、行使しないことが経済的に不合理であるため。他の契約は当初契約期間のみとした</t>
  </si>
  <si>
    <t>L-02を解約不能期間のみで算定した場合、リース負債は約2割減少する</t>
  </si>
  <si>
    <t>少額リースの判定方法</t>
  </si>
  <si>
    <t>対価総額による方法（3,000千円以下）</t>
  </si>
  <si>
    <t>原資産の新品時の価値は入手が困難な契約が多いため</t>
  </si>
  <si>
    <t>⚠️ もう一方の方法との併用はできない。継続適用が要る</t>
  </si>
  <si>
    <t>旧ファイナンス・リースの移行時の扱い</t>
  </si>
  <si>
    <t>帳簿価額を引き継ぐ（算定し直さない）</t>
  </si>
  <si>
    <t>旧基準で既にオンバランスしており、経過措置により帳簿価額の引継ぎが認められるため。算定し直すと開始日まで遡った資料が必要になる</t>
  </si>
  <si>
    <t>引き継ぐ場合は移行影響が生じない。算定し直すと、旧リース資産と旧リース債務の差額（本件では2,200千円）が利益剰余金に振り替わる</t>
  </si>
  <si>
    <t>使用権資産の算定方法（移行時）</t>
  </si>
  <si>
    <t>リース負債＋前払リース料−未払リース料による簡便な方法</t>
  </si>
  <si>
    <t>遡及して当初計上額から算定する方法は、開始日まで遡った資料の整備が必要で、費用対効果が見合わないため</t>
  </si>
  <si>
    <t>遡及法を採ると使用権資産は簡便法より小さくなり、移行時の利益剰余金への影響が大きくなる</t>
  </si>
  <si>
    <t>非リース部分の区分</t>
  </si>
  <si>
    <t>区分せず、リース部分と一体として会計処理</t>
  </si>
  <si>
    <t>適用指針が認める簡便な取扱いによる。区分に要する労力に比して影響が小さいため</t>
  </si>
  <si>
    <t>区分しない場合、リース負債は区分する場合より大きくなる</t>
  </si>
  <si>
    <t>⚠️ ここは人が書く紙である。監査人・当局・後任者に「なぜそうしたか」を説明するための記録で、AIが埋めてよい欄ではない。他の扱いを採った場合の影響まで書いておくと、後から見直すときに判断の重みが分かる。</t>
  </si>
  <si>
    <t>検算（ここが全てOKなら計算は閉じている）</t>
  </si>
  <si>
    <t>確認事項</t>
  </si>
  <si>
    <t>見るべき箇所</t>
  </si>
  <si>
    <t>母集団の件数 ＝ 判定の件数</t>
  </si>
  <si>
    <t>01と02の行数</t>
  </si>
  <si>
    <t>母集団の件数 ＝ 算定の件数</t>
  </si>
  <si>
    <t>01と04の行数</t>
  </si>
  <si>
    <t>免除した契約のリース負債 ＝ 0</t>
  </si>
  <si>
    <t>04のE列</t>
  </si>
  <si>
    <t>割引前総額 − リース負債 ＝ 利息総額</t>
  </si>
  <si>
    <t>04の合計行</t>
  </si>
  <si>
    <t>使用権資産 ＝ リース負債 ＋（前払−未払）＋ 旧残高の純額</t>
  </si>
  <si>
    <t>差額説明表が閉じている</t>
  </si>
  <si>
    <t>07</t>
  </si>
  <si>
    <t>償却表：Σ支払 − 当初負債 − Σ利息 ＝ 0</t>
  </si>
  <si>
    <t>05</t>
  </si>
  <si>
    <t>償却表：最終月の期末残高 ＝ 0</t>
  </si>
  <si>
    <t>全体判定</t>
  </si>
  <si>
    <t>・母集団：契約棚卸表の件数＝各判定表の件数＝計算シートの件数</t>
  </si>
  <si>
    <t>・1契約ごと：Σ支払額 − 当初リース負債 = Σ利息費用</t>
  </si>
  <si>
    <t>・1契約ごと：償却表の最終月の期末残高 = 0</t>
  </si>
  <si>
    <t>・免除規定を適用した契約が計算シートに混入していないこと</t>
  </si>
  <si>
    <t>・差額説明表：前期末の未経過リース料 → 期首リース負債 の縦計が一致すること</t>
  </si>
  <si>
    <t>・旧基準でオンバランスしていた契約の消去額 = 前期末の貸借対照表計上額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</si>
</sst>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000"/>
  </numFmts>
  <fonts count="4" x14ac:knownFonts="1">
    <font>
      <color theme="1"/>
      <family val="2"/>
      <scheme val="minor"/>
      <sz val="11"/>
      <name val="Calibri"/>
    </font>
    <font>
      <b/>
      <color rgb="FF1A1A1F"/>
      <sz val="10"/>
      <name val="Yu Gothic"/>
    </font>
    <font>
      <color rgb="FF8A8170"/>
      <sz val="9"/>
      <name val="Yu Gothic"/>
    </font>
    <font>
      <color rgb="FF1A1A1F"/>
      <sz val="10"/>
      <name val="Yu Gothic"/>
    </font>
  </fonts>
  <fills count="6">
    <fill>
      <patternFill patternType="none"/>
    </fill>
    <fill>
      <patternFill patternType="gray125"/>
    </fill>
    <fill>
      <patternFill patternType="solid">
        <fgColor rgb="FFECE4D2"/>
      </patternFill>
    </fill>
    <fill>
      <patternFill patternType="solid">
        <fgColor rgb="FFFFF2B8"/>
      </patternFill>
    </fill>
    <fill>
      <patternFill patternType="solid">
        <fgColor rgb="FFE8EFEA"/>
      </patternFill>
    </fill>
    <fill>
      <patternFill patternType="solid">
        <fgColor rgb="FFDCEFE0"/>
      </patternFill>
    </fill>
  </fills>
  <borders count="2">
    <border>
      <left/>
      <right/>
      <top/>
      <bottom/>
      <diagonal/>
    </border>
    <border>
      <left style="thin">
        <color rgb="FFCFC6B0"/>
      </left>
      <right style="thin">
        <color rgb="FFCFC6B0"/>
      </right>
      <top style="thin">
        <color rgb="FFCFC6B0"/>
      </top>
      <bottom style="thin">
        <color rgb="FFCFC6B0"/>
      </bottom>
      <diagonal/>
    </border>
  </borders>
  <cellStyleXfs count="1">
    <xf numFmtId="0" fontId="0" fillId="0" borderId="0"/>
  </cellStyleXfs>
  <cellXfs count="20">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1" fillId="2" borderId="1" xfId="0" applyFont="1" applyFill="1" applyBorder="1" applyAlignment="1">
      <alignment vertical="center" wrapText="1"/>
    </xf>
    <xf numFmtId="0" fontId="3" fillId="0" borderId="1" xfId="0" applyFont="1" applyBorder="1" applyAlignment="1">
      <alignment vertical="center" wrapText="1"/>
    </xf>
    <xf numFmtId="3" fontId="3" fillId="3" borderId="1" xfId="0" applyNumberFormat="1" applyFont="1" applyFill="1" applyBorder="1" applyAlignment="1">
      <alignment horizontal="right" vertical="center" wrapText="1"/>
    </xf>
    <xf numFmtId="164" fontId="3" fillId="3" borderId="1" xfId="0" applyNumberFormat="1" applyFont="1" applyFill="1" applyBorder="1" applyAlignment="1">
      <alignment horizontal="right" vertical="center" wrapText="1"/>
    </xf>
    <xf numFmtId="0" fontId="3" fillId="3" borderId="1" xfId="0" applyFont="1" applyFill="1" applyBorder="1" applyAlignment="1">
      <alignment vertical="center" wrapText="1"/>
    </xf>
    <xf numFmtId="164" fontId="3" fillId="0" borderId="1" xfId="0" applyNumberFormat="1" applyFont="1" applyBorder="1" applyAlignment="1">
      <alignment horizontal="right" vertical="center" wrapText="1"/>
    </xf>
    <xf numFmtId="0" fontId="1" fillId="4" borderId="1" xfId="0" applyFont="1" applyFill="1" applyBorder="1" applyAlignment="1">
      <alignment vertical="center" wrapText="1"/>
    </xf>
    <xf numFmtId="164" fontId="1" fillId="4" borderId="1" xfId="0" applyNumberFormat="1" applyFont="1" applyFill="1" applyBorder="1" applyAlignment="1">
      <alignment horizontal="right" vertical="center" wrapText="1"/>
    </xf>
    <xf numFmtId="0" fontId="2" fillId="0" borderId="0" xfId="0" applyFont="1" applyAlignment="1">
      <alignment vertical="top" wrapText="1"/>
    </xf>
    <xf numFmtId="0" fontId="3" fillId="5" borderId="1" xfId="0" applyFont="1" applyFill="1" applyBorder="1" applyAlignment="1">
      <alignment vertical="center" wrapText="1"/>
    </xf>
    <xf numFmtId="165" fontId="3" fillId="3" borderId="1" xfId="0" applyNumberFormat="1" applyFont="1" applyFill="1" applyBorder="1" applyAlignment="1">
      <alignment horizontal="right" vertical="center" wrapText="1"/>
    </xf>
    <xf numFmtId="3" fontId="3" fillId="0" borderId="1" xfId="0" applyNumberFormat="1" applyFont="1" applyBorder="1" applyAlignment="1">
      <alignment horizontal="right" vertical="center" wrapText="1"/>
    </xf>
    <xf numFmtId="165" fontId="3" fillId="0" borderId="1" xfId="0" applyNumberFormat="1" applyFont="1" applyBorder="1" applyAlignment="1">
      <alignment horizontal="right" vertical="center" wrapText="1"/>
    </xf>
    <xf numFmtId="166" fontId="3" fillId="0" borderId="1" xfId="0" applyNumberFormat="1" applyFont="1" applyBorder="1" applyAlignment="1">
      <alignment horizontal="right" vertical="center" wrapText="1"/>
    </xf>
    <xf numFmtId="10" fontId="3" fillId="3" borderId="1" xfId="0" applyNumberFormat="1" applyFont="1" applyFill="1" applyBorder="1" applyAlignment="1">
      <alignment horizontal="right" vertical="center" wrapText="1"/>
    </xf>
    <xf numFmtId="0" fontId="3" fillId="4" borderId="1" xfId="0" applyFont="1" applyFill="1" applyBorder="1" applyAlignment="1">
      <alignment vertical="center" wrapText="1"/>
    </xf>
    <xf numFmtId="164" fontId="3" fillId="4" borderId="1" xfId="0" applyNumberFormat="1" applyFont="1" applyFill="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FormatPr defaultRowHeight="15" outlineLevelRow="0" outlineLevelCol="0" x14ac:dyDescent="55"/>
  <cols>
    <col min="1" max="1" width="28" customWidth="1"/>
    <col min="2" max="2" width="96" customWidth="1"/>
  </cols>
  <sheetData>
    <row r="1" spans="1:2" x14ac:dyDescent="0.25">
      <c r="A1" s="1" t="s">
        <v>0</v>
      </c>
      <c r="B1" s="1"/>
    </row>
    <row r="2" spans="1:2" x14ac:dyDescent="0.25">
      <c r="A2" s="1" t="s">
        <v>1</v>
      </c>
      <c r="B2" s="1"/>
    </row>
    <row r="3" spans="1:2" x14ac:dyDescent="0.25">
      <c r="A3" s="2" t="s">
        <v>2</v>
      </c>
      <c r="B3" s="2"/>
    </row>
    <row r="5" spans="1:2" x14ac:dyDescent="0.25">
      <c r="A5" s="3" t="s">
        <v>3</v>
      </c>
      <c r="B5" s="3" t="s">
        <v>4</v>
      </c>
    </row>
    <row r="6" spans="1:2" x14ac:dyDescent="0.25">
      <c r="A6" s="4" t="s">
        <v>5</v>
      </c>
      <c r="B6" s="4" t="s">
        <v>6</v>
      </c>
    </row>
    <row r="7" spans="1:2" x14ac:dyDescent="0.25">
      <c r="A7" s="4" t="s">
        <v>7</v>
      </c>
      <c r="B7" s="4" t="s">
        <v>8</v>
      </c>
    </row>
    <row r="8" spans="1:2" x14ac:dyDescent="0.25">
      <c r="A8" s="4" t="s">
        <v>9</v>
      </c>
      <c r="B8" s="4" t="s">
        <v>10</v>
      </c>
    </row>
    <row r="9" spans="1:2" x14ac:dyDescent="0.25">
      <c r="A9" s="4" t="s">
        <v>11</v>
      </c>
      <c r="B9" s="4" t="s">
        <v>12</v>
      </c>
    </row>
    <row r="10" spans="1:2" x14ac:dyDescent="0.25">
      <c r="A10" s="4" t="s">
        <v>13</v>
      </c>
      <c r="B10" s="4" t="s">
        <v>14</v>
      </c>
    </row>
    <row r="11" spans="1:2" x14ac:dyDescent="0.25">
      <c r="A11" s="4" t="s">
        <v>15</v>
      </c>
      <c r="B11" s="4" t="s">
        <v>16</v>
      </c>
    </row>
    <row r="12" spans="1:2" x14ac:dyDescent="0.25">
      <c r="A12" s="4" t="s">
        <v>17</v>
      </c>
      <c r="B12" s="4" t="s">
        <v>18</v>
      </c>
    </row>
    <row r="13" spans="1:2" x14ac:dyDescent="0.25">
      <c r="A13" s="4" t="s">
        <v>19</v>
      </c>
      <c r="B13" s="4" t="s">
        <v>20</v>
      </c>
    </row>
    <row r="14" spans="1:2" x14ac:dyDescent="0.25">
      <c r="A14" s="4" t="s">
        <v>21</v>
      </c>
      <c r="B14" s="4" t="s">
        <v>22</v>
      </c>
    </row>
    <row r="15" spans="1:2" x14ac:dyDescent="0.25">
      <c r="A15" s="4" t="s">
        <v>23</v>
      </c>
      <c r="B15" s="4" t="s">
        <v>24</v>
      </c>
    </row>
    <row r="17" spans="1:2" x14ac:dyDescent="0.25">
      <c r="A17" s="3" t="s">
        <v>25</v>
      </c>
      <c r="B17" s="3" t="s">
        <v>26</v>
      </c>
    </row>
    <row r="18" spans="1:2" x14ac:dyDescent="0.25">
      <c r="A18" s="4" t="s">
        <v>27</v>
      </c>
      <c r="B18" s="4" t="s">
        <v>28</v>
      </c>
    </row>
    <row r="19" spans="1:2" x14ac:dyDescent="0.25">
      <c r="A19" s="4" t="s">
        <v>29</v>
      </c>
      <c r="B19" s="4" t="s">
        <v>30</v>
      </c>
    </row>
    <row r="20" spans="1:2" x14ac:dyDescent="0.25">
      <c r="A20" s="4" t="s">
        <v>31</v>
      </c>
      <c r="B20" s="4" t="s">
        <v>32</v>
      </c>
    </row>
    <row r="21" spans="1:2" x14ac:dyDescent="0.25">
      <c r="A21" s="4" t="s">
        <v>33</v>
      </c>
      <c r="B21" s="4" t="s">
        <v>34</v>
      </c>
    </row>
    <row r="22" spans="1:2" x14ac:dyDescent="0.25">
      <c r="A22" s="4" t="s">
        <v>35</v>
      </c>
      <c r="B22" s="4" t="s">
        <v>36</v>
      </c>
    </row>
    <row r="23" spans="1:2" x14ac:dyDescent="0.25">
      <c r="A23" s="4" t="s">
        <v>37</v>
      </c>
      <c r="B23" s="4" t="s">
        <v>38</v>
      </c>
    </row>
    <row r="24" spans="1:2" x14ac:dyDescent="0.25">
      <c r="A24" s="4" t="s">
        <v>39</v>
      </c>
      <c r="B24" s="4" t="s">
        <v>40</v>
      </c>
    </row>
    <row r="25" spans="1:2" x14ac:dyDescent="0.25">
      <c r="A25" s="4" t="s">
        <v>41</v>
      </c>
      <c r="B25" s="4" t="s">
        <v>42</v>
      </c>
    </row>
    <row r="26" spans="1:2" x14ac:dyDescent="0.25">
      <c r="A26" s="4" t="s">
        <v>43</v>
      </c>
      <c r="B26" s="4" t="s">
        <v>44</v>
      </c>
    </row>
    <row r="27" spans="1:2" x14ac:dyDescent="0.25">
      <c r="A27" s="4" t="s">
        <v>45</v>
      </c>
      <c r="B27" s="4" t="s">
        <v>46</v>
      </c>
    </row>
    <row r="28" spans="1:2" x14ac:dyDescent="0.25">
      <c r="A28" s="4" t="s">
        <v>47</v>
      </c>
      <c r="B28" s="4" t="s">
        <v>48</v>
      </c>
    </row>
  </sheetData>
  <mergeCells count="3">
    <mergeCell ref="A1:B1"/>
    <mergeCell ref="A2:B2"/>
    <mergeCell ref="A3:B3"/>
  </mergeCells>
  <pageMargins left="0.7" right="0.7" top="0.75" bottom="0.75" header="0.3" footer="0.3"/>
  <pageSetup orientation="portrait" horizontalDpi="4294967295" verticalDpi="4294967295" scale="100" fitToWidth="1" fitToHeigh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FormatPr defaultRowHeight="15" outlineLevelRow="0" outlineLevelCol="0" x14ac:dyDescent="55"/>
  <cols>
    <col min="1" max="1" width="34" customWidth="1"/>
    <col min="2" max="3" width="18" customWidth="1"/>
    <col min="4" max="4" width="56" customWidth="1"/>
  </cols>
  <sheetData>
    <row r="1" spans="1:4" x14ac:dyDescent="0.25">
      <c r="A1" s="1" t="s">
        <v>0</v>
      </c>
      <c r="B1" s="1"/>
      <c r="C1" s="1"/>
      <c r="D1" s="1"/>
    </row>
    <row r="2" spans="1:4" x14ac:dyDescent="0.25">
      <c r="A2" s="1" t="s">
        <v>212</v>
      </c>
      <c r="B2" s="1"/>
      <c r="C2" s="1"/>
      <c r="D2" s="1"/>
    </row>
    <row r="3" spans="1:4" x14ac:dyDescent="0.25">
      <c r="A3" s="2" t="s">
        <v>2</v>
      </c>
      <c r="B3" s="2"/>
      <c r="C3" s="2"/>
      <c r="D3" s="2"/>
    </row>
    <row r="5" spans="1:4" x14ac:dyDescent="0.25">
      <c r="A5" s="3" t="s">
        <v>3</v>
      </c>
      <c r="B5" s="3" t="s">
        <v>213</v>
      </c>
      <c r="C5" s="3" t="s">
        <v>214</v>
      </c>
      <c r="D5" s="3" t="s">
        <v>163</v>
      </c>
    </row>
    <row r="6" spans="1:4" x14ac:dyDescent="0.25">
      <c r="A6" s="4" t="s">
        <v>140</v>
      </c>
      <c r="B6" s="8">
        <f>'04_移行日の算定'!H14</f>
      </c>
      <c r="C6" s="8">
        <v>0</v>
      </c>
      <c r="D6" s="4" t="s">
        <v>215</v>
      </c>
    </row>
    <row r="7" spans="1:4" x14ac:dyDescent="0.25">
      <c r="A7" s="4" t="s">
        <v>137</v>
      </c>
      <c r="B7" s="8">
        <f>'04_移行日の算定'!E14</f>
      </c>
      <c r="C7" s="8">
        <v>0</v>
      </c>
      <c r="D7" s="4" t="s">
        <v>216</v>
      </c>
    </row>
    <row r="9" spans="1:4" x14ac:dyDescent="0.25">
      <c r="A9" s="3" t="s">
        <v>217</v>
      </c>
      <c r="B9" s="3" t="s">
        <v>162</v>
      </c>
      <c r="C9" s="3" t="s">
        <v>218</v>
      </c>
      <c r="D9" s="3" t="s">
        <v>163</v>
      </c>
    </row>
    <row r="10" spans="1:4" x14ac:dyDescent="0.25">
      <c r="A10" s="4" t="s">
        <v>219</v>
      </c>
      <c r="B10" s="8">
        <f>B6-C6</f>
      </c>
      <c r="C10" s="4" t="s">
        <v>220</v>
      </c>
      <c r="D10" s="4" t="s">
        <v>221</v>
      </c>
    </row>
    <row r="11" spans="1:4" x14ac:dyDescent="0.25">
      <c r="A11" s="4" t="s">
        <v>222</v>
      </c>
      <c r="B11" s="8">
        <f>B7-C7</f>
      </c>
      <c r="C11" s="4" t="s">
        <v>223</v>
      </c>
      <c r="D11" s="4" t="s">
        <v>224</v>
      </c>
    </row>
    <row r="12" spans="1:4" x14ac:dyDescent="0.25">
      <c r="A12" s="18" t="s">
        <v>225</v>
      </c>
      <c r="B12" s="19">
        <f>B11-B10</f>
      </c>
      <c r="C12" s="18" t="s">
        <v>92</v>
      </c>
      <c r="D12" s="18" t="s">
        <v>226</v>
      </c>
    </row>
    <row r="13" spans="1:4" x14ac:dyDescent="0.25">
      <c r="A13" s="4" t="s">
        <v>227</v>
      </c>
      <c r="B13" s="8">
        <f>B12*'06_累積的影響額と仕訳'!$B$10</f>
      </c>
      <c r="C13" s="4" t="s">
        <v>92</v>
      </c>
      <c r="D13" s="4" t="s">
        <v>228</v>
      </c>
    </row>
    <row r="15" spans="1:4" x14ac:dyDescent="0.25">
      <c r="A15" s="11" t="s">
        <v>229</v>
      </c>
      <c r="B15" s="11"/>
      <c r="C15" s="11"/>
      <c r="D15" s="11"/>
    </row>
    <row r="16" spans="1:4" x14ac:dyDescent="0.25">
      <c r="A16" s="11" t="s">
        <v>230</v>
      </c>
      <c r="B16" s="11"/>
      <c r="C16" s="11"/>
      <c r="D16" s="11"/>
    </row>
  </sheetData>
  <mergeCells count="5">
    <mergeCell ref="A1:D1"/>
    <mergeCell ref="A2:D2"/>
    <mergeCell ref="A3:D3"/>
    <mergeCell ref="A15:D15"/>
    <mergeCell ref="A16:D16"/>
  </mergeCells>
  <pageMargins left="0.7" right="0.7" top="0.75" bottom="0.75" header="0.3" footer="0.3"/>
  <pageSetup orientation="portrait" horizontalDpi="4294967295" verticalDpi="4294967295" scale="100" fitToWidth="1" fitToHeigh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FormatPr defaultRowHeight="15" outlineLevelRow="0" outlineLevelCol="0" x14ac:dyDescent="55"/>
  <cols>
    <col min="1" max="2" width="30" customWidth="1"/>
    <col min="3" max="4" width="46" customWidth="1"/>
    <col min="5" max="5" width="14" customWidth="1"/>
  </cols>
  <sheetData>
    <row r="1" spans="1:5" x14ac:dyDescent="0.25">
      <c r="A1" s="1" t="s">
        <v>0</v>
      </c>
      <c r="B1" s="1"/>
      <c r="C1" s="1"/>
      <c r="D1" s="1"/>
      <c r="E1" s="1"/>
    </row>
    <row r="2" spans="1:5" x14ac:dyDescent="0.25">
      <c r="A2" s="1" t="s">
        <v>231</v>
      </c>
      <c r="B2" s="1"/>
      <c r="C2" s="1"/>
      <c r="D2" s="1"/>
      <c r="E2" s="1"/>
    </row>
    <row r="3" spans="1:5" x14ac:dyDescent="0.25">
      <c r="A3" s="2" t="s">
        <v>2</v>
      </c>
      <c r="B3" s="2"/>
      <c r="C3" s="2"/>
      <c r="D3" s="2"/>
      <c r="E3" s="2"/>
    </row>
    <row r="5" spans="1:5" x14ac:dyDescent="0.25">
      <c r="A5" s="3" t="s">
        <v>232</v>
      </c>
      <c r="B5" s="3" t="s">
        <v>233</v>
      </c>
      <c r="C5" s="3" t="s">
        <v>234</v>
      </c>
      <c r="D5" s="3" t="s">
        <v>235</v>
      </c>
      <c r="E5" s="3" t="s">
        <v>236</v>
      </c>
    </row>
    <row r="6" spans="1:5" x14ac:dyDescent="0.25">
      <c r="A6" s="4" t="s">
        <v>237</v>
      </c>
      <c r="B6" s="12" t="s">
        <v>238</v>
      </c>
      <c r="C6" s="12" t="s">
        <v>239</v>
      </c>
      <c r="D6" s="4" t="s">
        <v>240</v>
      </c>
      <c r="E6" s="7" t="s">
        <v>92</v>
      </c>
    </row>
    <row r="7" spans="1:5" x14ac:dyDescent="0.25">
      <c r="A7" s="4" t="s">
        <v>241</v>
      </c>
      <c r="B7" s="12" t="s">
        <v>242</v>
      </c>
      <c r="C7" s="12" t="s">
        <v>243</v>
      </c>
      <c r="D7" s="4" t="s">
        <v>244</v>
      </c>
      <c r="E7" s="7" t="s">
        <v>92</v>
      </c>
    </row>
    <row r="8" spans="1:5" x14ac:dyDescent="0.25">
      <c r="A8" s="4" t="s">
        <v>245</v>
      </c>
      <c r="B8" s="12" t="s">
        <v>246</v>
      </c>
      <c r="C8" s="12" t="s">
        <v>247</v>
      </c>
      <c r="D8" s="4" t="s">
        <v>248</v>
      </c>
      <c r="E8" s="7" t="s">
        <v>92</v>
      </c>
    </row>
    <row r="9" spans="1:5" x14ac:dyDescent="0.25">
      <c r="A9" s="4" t="s">
        <v>249</v>
      </c>
      <c r="B9" s="12" t="s">
        <v>250</v>
      </c>
      <c r="C9" s="12" t="s">
        <v>251</v>
      </c>
      <c r="D9" s="4" t="s">
        <v>252</v>
      </c>
      <c r="E9" s="7" t="s">
        <v>92</v>
      </c>
    </row>
    <row r="10" spans="1:5" x14ac:dyDescent="0.25">
      <c r="A10" s="4" t="s">
        <v>253</v>
      </c>
      <c r="B10" s="12" t="s">
        <v>254</v>
      </c>
      <c r="C10" s="12" t="s">
        <v>255</v>
      </c>
      <c r="D10" s="4" t="s">
        <v>256</v>
      </c>
      <c r="E10" s="7" t="s">
        <v>92</v>
      </c>
    </row>
    <row r="12" spans="1:5" x14ac:dyDescent="0.25">
      <c r="A12" s="11" t="s">
        <v>257</v>
      </c>
      <c r="B12" s="11"/>
      <c r="C12" s="11"/>
      <c r="D12" s="11"/>
      <c r="E12" s="11"/>
    </row>
  </sheetData>
  <mergeCells count="4">
    <mergeCell ref="A1:E1"/>
    <mergeCell ref="A2:E2"/>
    <mergeCell ref="A3:E3"/>
    <mergeCell ref="A12:E12"/>
  </mergeCells>
  <pageMargins left="0.7" right="0.7" top="0.75" bottom="0.75" header="0.3" footer="0.3"/>
  <pageSetup orientation="portrait" horizontalDpi="4294967295" verticalDpi="4294967295" scale="100" fitToWidth="1" fitToHeigh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FormatPr defaultRowHeight="15" outlineLevelRow="0" outlineLevelCol="0" x14ac:dyDescent="55"/>
  <cols>
    <col min="1" max="1" width="56" customWidth="1"/>
    <col min="2" max="2" width="18" customWidth="1"/>
    <col min="3" max="3" width="16" customWidth="1"/>
    <col min="4" max="4" width="46" customWidth="1"/>
  </cols>
  <sheetData>
    <row r="1" spans="1:4" x14ac:dyDescent="0.25">
      <c r="A1" s="1" t="s">
        <v>0</v>
      </c>
      <c r="B1" s="1"/>
      <c r="C1" s="1"/>
      <c r="D1" s="1"/>
    </row>
    <row r="2" spans="1:4" x14ac:dyDescent="0.25">
      <c r="A2" s="1" t="s">
        <v>258</v>
      </c>
      <c r="B2" s="1"/>
      <c r="C2" s="1"/>
      <c r="D2" s="1"/>
    </row>
    <row r="3" spans="1:4" x14ac:dyDescent="0.25">
      <c r="A3" s="2" t="s">
        <v>2</v>
      </c>
      <c r="B3" s="2"/>
      <c r="C3" s="2"/>
      <c r="D3" s="2"/>
    </row>
    <row r="5" spans="1:4" x14ac:dyDescent="0.25">
      <c r="A5" s="3" t="s">
        <v>259</v>
      </c>
      <c r="B5" s="3" t="s">
        <v>156</v>
      </c>
      <c r="C5" s="3" t="s">
        <v>157</v>
      </c>
      <c r="D5" s="3" t="s">
        <v>260</v>
      </c>
    </row>
    <row r="6" spans="1:4" x14ac:dyDescent="0.25">
      <c r="A6" s="4" t="s">
        <v>261</v>
      </c>
      <c r="B6" s="8">
        <f>8-COUNTA('02_識別・免除の判定'!A8:A15)</f>
      </c>
      <c r="C6" s="4">
        <f>IF(ABS(B6)&lt;0.5,"OK","⚠️ NG")</f>
      </c>
      <c r="D6" s="4" t="s">
        <v>262</v>
      </c>
    </row>
    <row r="7" spans="1:4" x14ac:dyDescent="0.25">
      <c r="A7" s="4" t="s">
        <v>263</v>
      </c>
      <c r="B7" s="8">
        <f>8-COUNTA('04_移行日の算定'!A6:A13)</f>
      </c>
      <c r="C7" s="4">
        <f>IF(ABS(B7)&lt;0.5,"OK","⚠️ NG")</f>
      </c>
      <c r="D7" s="4" t="s">
        <v>264</v>
      </c>
    </row>
    <row r="8" spans="1:4" x14ac:dyDescent="0.25">
      <c r="A8" s="4" t="s">
        <v>265</v>
      </c>
      <c r="B8" s="8">
        <f>SUMIF('02_識別・免除の判定'!J8:J15,"免除（費用処理）",'04_移行日の算定'!E6:E13)</f>
      </c>
      <c r="C8" s="4">
        <f>IF(ABS(B8)&lt;0.5,"OK","⚠️ NG")</f>
      </c>
      <c r="D8" s="4" t="s">
        <v>266</v>
      </c>
    </row>
    <row r="9" spans="1:4" x14ac:dyDescent="0.25">
      <c r="A9" s="4" t="s">
        <v>267</v>
      </c>
      <c r="B9" s="8">
        <f>'04_移行日の算定'!D14-'04_移行日の算定'!E14-'04_移行日の算定'!F14</f>
      </c>
      <c r="C9" s="4">
        <f>IF(ABS(B9)&lt;0.5,"OK","⚠️ NG")</f>
      </c>
      <c r="D9" s="4" t="s">
        <v>268</v>
      </c>
    </row>
    <row r="10" spans="1:4" x14ac:dyDescent="0.25">
      <c r="A10" s="4" t="s">
        <v>269</v>
      </c>
      <c r="B10" s="8">
        <f>'04_移行日の算定'!H14-'04_移行日の算定'!E14-'04_移行日の算定'!G14-'04_移行日の算定'!I14</f>
      </c>
      <c r="C10" s="4">
        <f>IF(ABS(B10)&lt;0.5,"OK","⚠️ NG")</f>
      </c>
      <c r="D10" s="4" t="s">
        <v>268</v>
      </c>
    </row>
    <row r="11" spans="1:4" x14ac:dyDescent="0.25">
      <c r="A11" s="4" t="s">
        <v>270</v>
      </c>
      <c r="B11" s="8">
        <f>'07_差額説明表'!B13</f>
      </c>
      <c r="C11" s="4">
        <f>IF(ABS(B11)&lt;0.5,"OK","⚠️ NG")</f>
      </c>
      <c r="D11" s="4" t="s">
        <v>271</v>
      </c>
    </row>
    <row r="12" spans="1:4" x14ac:dyDescent="0.25">
      <c r="A12" s="4" t="s">
        <v>272</v>
      </c>
      <c r="B12" s="8">
        <f>'05_償却スケジュール'!B47</f>
      </c>
      <c r="C12" s="4">
        <f>IF(ABS(B12)&lt;0.5,"OK","⚠️ NG")</f>
      </c>
      <c r="D12" s="4" t="s">
        <v>273</v>
      </c>
    </row>
    <row r="13" spans="1:4" x14ac:dyDescent="0.25">
      <c r="A13" s="4" t="s">
        <v>274</v>
      </c>
      <c r="B13" s="8">
        <f>'05_償却スケジュール'!B48</f>
      </c>
      <c r="C13" s="4">
        <f>IF(ABS(B13)&lt;0.5,"OK","⚠️ NG")</f>
      </c>
      <c r="D13" s="4" t="s">
        <v>273</v>
      </c>
    </row>
    <row r="15" spans="1:4" x14ac:dyDescent="0.25">
      <c r="A15" s="9" t="s">
        <v>275</v>
      </c>
      <c r="B15" s="9">
        <f>IF(COUNTIF(C6:C13,"⚠️ NG")=0,"✅ すべてOK","⚠️ NGあり")</f>
      </c>
      <c r="C15" s="9" t="s">
        <v>92</v>
      </c>
      <c r="D15" s="9" t="s">
        <v>92</v>
      </c>
    </row>
    <row r="17" spans="1:4" x14ac:dyDescent="0.25">
      <c r="A17" s="11" t="s">
        <v>276</v>
      </c>
      <c r="B17" s="11"/>
      <c r="C17" s="11"/>
      <c r="D17" s="11"/>
    </row>
    <row r="18" spans="1:4" x14ac:dyDescent="0.25">
      <c r="A18" s="11" t="s">
        <v>277</v>
      </c>
      <c r="B18" s="11"/>
      <c r="C18" s="11"/>
      <c r="D18" s="11"/>
    </row>
    <row r="19" spans="1:4" x14ac:dyDescent="0.25">
      <c r="A19" s="11" t="s">
        <v>278</v>
      </c>
      <c r="B19" s="11"/>
      <c r="C19" s="11"/>
      <c r="D19" s="11"/>
    </row>
    <row r="20" spans="1:4" x14ac:dyDescent="0.25">
      <c r="A20" s="11" t="s">
        <v>279</v>
      </c>
      <c r="B20" s="11"/>
      <c r="C20" s="11"/>
      <c r="D20" s="11"/>
    </row>
    <row r="21" spans="1:4" x14ac:dyDescent="0.25">
      <c r="A21" s="11" t="s">
        <v>280</v>
      </c>
      <c r="B21" s="11"/>
      <c r="C21" s="11"/>
      <c r="D21" s="11"/>
    </row>
    <row r="22" spans="1:4" x14ac:dyDescent="0.25">
      <c r="A22" s="11" t="s">
        <v>281</v>
      </c>
      <c r="B22" s="11"/>
      <c r="C22" s="11"/>
      <c r="D22" s="11"/>
    </row>
  </sheetData>
  <mergeCells count="9">
    <mergeCell ref="A1:D1"/>
    <mergeCell ref="A2:D2"/>
    <mergeCell ref="A3:D3"/>
    <mergeCell ref="A17:D17"/>
    <mergeCell ref="A18:D18"/>
    <mergeCell ref="A19:D19"/>
    <mergeCell ref="A20:D20"/>
    <mergeCell ref="A21:D21"/>
    <mergeCell ref="A22:D22"/>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FormatPr defaultRowHeight="15" outlineLevelRow="0" outlineLevelCol="0" x14ac:dyDescent="55"/>
  <cols>
    <col min="1" max="1" width="8" customWidth="1"/>
    <col min="2" max="2" width="30" customWidth="1"/>
    <col min="3" max="3" width="14" customWidth="1"/>
    <col min="4" max="4" width="12" customWidth="1"/>
    <col min="5" max="5" width="10" customWidth="1"/>
    <col min="6" max="6" width="12" customWidth="1"/>
    <col min="7" max="7" width="10" customWidth="1"/>
    <col min="8" max="10" width="12" customWidth="1"/>
    <col min="11" max="11" width="44" customWidth="1"/>
  </cols>
  <sheetData>
    <row r="1" spans="1:11" x14ac:dyDescent="0.25">
      <c r="A1" s="1" t="s">
        <v>0</v>
      </c>
      <c r="B1" s="1"/>
      <c r="C1" s="1"/>
      <c r="D1" s="1"/>
      <c r="E1" s="1"/>
      <c r="F1" s="1"/>
      <c r="G1" s="1"/>
      <c r="H1" s="1"/>
      <c r="I1" s="1"/>
      <c r="J1" s="1"/>
      <c r="K1" s="1"/>
    </row>
    <row r="2" spans="1:11" x14ac:dyDescent="0.25">
      <c r="A2" s="1" t="s">
        <v>49</v>
      </c>
      <c r="B2" s="1"/>
      <c r="C2" s="1"/>
      <c r="D2" s="1"/>
      <c r="E2" s="1"/>
      <c r="F2" s="1"/>
      <c r="G2" s="1"/>
      <c r="H2" s="1"/>
      <c r="I2" s="1"/>
      <c r="J2" s="1"/>
      <c r="K2" s="1"/>
    </row>
    <row r="3" spans="1:11" x14ac:dyDescent="0.25">
      <c r="A3" s="2" t="s">
        <v>2</v>
      </c>
      <c r="B3" s="2"/>
      <c r="C3" s="2"/>
      <c r="D3" s="2"/>
      <c r="E3" s="2"/>
      <c r="F3" s="2"/>
      <c r="G3" s="2"/>
      <c r="H3" s="2"/>
      <c r="I3" s="2"/>
      <c r="J3" s="2"/>
      <c r="K3" s="2"/>
    </row>
    <row r="5" spans="1:11" x14ac:dyDescent="0.25">
      <c r="A5" s="3" t="s">
        <v>50</v>
      </c>
      <c r="B5" s="3" t="s">
        <v>51</v>
      </c>
      <c r="C5" s="3" t="s">
        <v>52</v>
      </c>
      <c r="D5" s="3" t="s">
        <v>53</v>
      </c>
      <c r="E5" s="3" t="s">
        <v>54</v>
      </c>
      <c r="F5" s="3" t="s">
        <v>55</v>
      </c>
      <c r="G5" s="3" t="s">
        <v>56</v>
      </c>
      <c r="H5" s="3" t="s">
        <v>57</v>
      </c>
      <c r="I5" s="3" t="s">
        <v>58</v>
      </c>
      <c r="J5" s="3" t="s">
        <v>59</v>
      </c>
      <c r="K5" s="3" t="s">
        <v>60</v>
      </c>
    </row>
    <row r="6" spans="1:11" x14ac:dyDescent="0.25">
      <c r="A6" s="4" t="s">
        <v>61</v>
      </c>
      <c r="B6" s="4" t="s">
        <v>62</v>
      </c>
      <c r="C6" s="4" t="s">
        <v>63</v>
      </c>
      <c r="D6" s="4" t="s">
        <v>64</v>
      </c>
      <c r="E6" s="5">
        <v>60</v>
      </c>
      <c r="F6" s="6">
        <v>4500</v>
      </c>
      <c r="G6" s="7" t="s">
        <v>57</v>
      </c>
      <c r="H6" s="6">
        <v>4500</v>
      </c>
      <c r="I6" s="6">
        <v>0</v>
      </c>
      <c r="J6" s="8">
        <f>E6*F6</f>
      </c>
      <c r="K6" s="4" t="s">
        <v>65</v>
      </c>
    </row>
    <row r="7" spans="1:11" x14ac:dyDescent="0.25">
      <c r="A7" s="4" t="s">
        <v>66</v>
      </c>
      <c r="B7" s="4" t="s">
        <v>67</v>
      </c>
      <c r="C7" s="4" t="s">
        <v>63</v>
      </c>
      <c r="D7" s="4" t="s">
        <v>64</v>
      </c>
      <c r="E7" s="5">
        <v>96</v>
      </c>
      <c r="F7" s="6">
        <v>8200</v>
      </c>
      <c r="G7" s="7" t="s">
        <v>57</v>
      </c>
      <c r="H7" s="6">
        <v>8200</v>
      </c>
      <c r="I7" s="6">
        <v>0</v>
      </c>
      <c r="J7" s="8">
        <f>E7*F7</f>
      </c>
      <c r="K7" s="4" t="s">
        <v>68</v>
      </c>
    </row>
    <row r="8" spans="1:11" x14ac:dyDescent="0.25">
      <c r="A8" s="4" t="s">
        <v>69</v>
      </c>
      <c r="B8" s="4" t="s">
        <v>70</v>
      </c>
      <c r="C8" s="4" t="s">
        <v>71</v>
      </c>
      <c r="D8" s="4" t="s">
        <v>72</v>
      </c>
      <c r="E8" s="5">
        <v>36</v>
      </c>
      <c r="F8" s="6">
        <v>1800</v>
      </c>
      <c r="G8" s="7" t="s">
        <v>73</v>
      </c>
      <c r="H8" s="6">
        <v>0</v>
      </c>
      <c r="I8" s="6">
        <v>0</v>
      </c>
      <c r="J8" s="8">
        <f>E8*F8</f>
      </c>
      <c r="K8" s="4" t="s">
        <v>74</v>
      </c>
    </row>
    <row r="9" spans="1:11" x14ac:dyDescent="0.25">
      <c r="A9" s="4" t="s">
        <v>75</v>
      </c>
      <c r="B9" s="4" t="s">
        <v>76</v>
      </c>
      <c r="C9" s="4" t="s">
        <v>71</v>
      </c>
      <c r="D9" s="4" t="s">
        <v>64</v>
      </c>
      <c r="E9" s="5">
        <v>48</v>
      </c>
      <c r="F9" s="6">
        <v>950</v>
      </c>
      <c r="G9" s="7" t="s">
        <v>73</v>
      </c>
      <c r="H9" s="6">
        <v>0</v>
      </c>
      <c r="I9" s="6">
        <v>0</v>
      </c>
      <c r="J9" s="8">
        <f>E9*F9</f>
      </c>
      <c r="K9" s="4" t="s">
        <v>77</v>
      </c>
    </row>
    <row r="10" spans="1:11" x14ac:dyDescent="0.25">
      <c r="A10" s="4" t="s">
        <v>78</v>
      </c>
      <c r="B10" s="4" t="s">
        <v>79</v>
      </c>
      <c r="C10" s="4" t="s">
        <v>80</v>
      </c>
      <c r="D10" s="4" t="s">
        <v>64</v>
      </c>
      <c r="E10" s="5">
        <v>30</v>
      </c>
      <c r="F10" s="6">
        <v>320</v>
      </c>
      <c r="G10" s="7" t="s">
        <v>73</v>
      </c>
      <c r="H10" s="6">
        <v>0</v>
      </c>
      <c r="I10" s="6">
        <v>0</v>
      </c>
      <c r="J10" s="8">
        <f>E10*F10</f>
      </c>
      <c r="K10" s="4" t="s">
        <v>81</v>
      </c>
    </row>
    <row r="11" spans="1:11" x14ac:dyDescent="0.25">
      <c r="A11" s="4" t="s">
        <v>82</v>
      </c>
      <c r="B11" s="4" t="s">
        <v>83</v>
      </c>
      <c r="C11" s="4" t="s">
        <v>84</v>
      </c>
      <c r="D11" s="4" t="s">
        <v>64</v>
      </c>
      <c r="E11" s="5">
        <v>24</v>
      </c>
      <c r="F11" s="6">
        <v>85</v>
      </c>
      <c r="G11" s="7" t="s">
        <v>73</v>
      </c>
      <c r="H11" s="6">
        <v>0</v>
      </c>
      <c r="I11" s="6">
        <v>0</v>
      </c>
      <c r="J11" s="8">
        <f>E11*F11</f>
      </c>
      <c r="K11" s="4" t="s">
        <v>85</v>
      </c>
    </row>
    <row r="12" spans="1:11" x14ac:dyDescent="0.25">
      <c r="A12" s="4" t="s">
        <v>86</v>
      </c>
      <c r="B12" s="4" t="s">
        <v>87</v>
      </c>
      <c r="C12" s="4" t="s">
        <v>84</v>
      </c>
      <c r="D12" s="4" t="s">
        <v>64</v>
      </c>
      <c r="E12" s="5">
        <v>18</v>
      </c>
      <c r="F12" s="6">
        <v>210</v>
      </c>
      <c r="G12" s="7" t="s">
        <v>73</v>
      </c>
      <c r="H12" s="6">
        <v>0</v>
      </c>
      <c r="I12" s="6">
        <v>0</v>
      </c>
      <c r="J12" s="8">
        <f>E12*F12</f>
      </c>
      <c r="K12" s="4" t="s">
        <v>88</v>
      </c>
    </row>
    <row r="13" spans="1:11" x14ac:dyDescent="0.25">
      <c r="A13" s="4" t="s">
        <v>89</v>
      </c>
      <c r="B13" s="4" t="s">
        <v>90</v>
      </c>
      <c r="C13" s="4" t="s">
        <v>63</v>
      </c>
      <c r="D13" s="4" t="s">
        <v>64</v>
      </c>
      <c r="E13" s="5">
        <v>10</v>
      </c>
      <c r="F13" s="6">
        <v>600</v>
      </c>
      <c r="G13" s="7" t="s">
        <v>73</v>
      </c>
      <c r="H13" s="6">
        <v>0</v>
      </c>
      <c r="I13" s="6">
        <v>0</v>
      </c>
      <c r="J13" s="8">
        <f>E13*F13</f>
      </c>
      <c r="K13" s="4" t="s">
        <v>91</v>
      </c>
    </row>
    <row r="14" spans="1:11" x14ac:dyDescent="0.25">
      <c r="A14" s="9" t="s">
        <v>92</v>
      </c>
      <c r="B14" s="9" t="s">
        <v>93</v>
      </c>
      <c r="C14" s="9" t="s">
        <v>92</v>
      </c>
      <c r="D14" s="9" t="s">
        <v>92</v>
      </c>
      <c r="E14" s="9" t="s">
        <v>92</v>
      </c>
      <c r="F14" s="10">
        <f>SUM(F6:F13)</f>
      </c>
      <c r="G14" s="9" t="s">
        <v>92</v>
      </c>
      <c r="H14" s="10">
        <f>SUM(H6:H13)</f>
      </c>
      <c r="I14" s="10">
        <f>SUM(I6:I13)</f>
      </c>
      <c r="J14" s="10">
        <f>SUM(J6:J13)</f>
      </c>
      <c r="K14" s="9" t="s">
        <v>92</v>
      </c>
    </row>
    <row r="16" spans="1:2" x14ac:dyDescent="0.25">
      <c r="A16" s="3" t="s">
        <v>94</v>
      </c>
      <c r="B16" s="3" t="s">
        <v>95</v>
      </c>
    </row>
    <row r="17" spans="1:11" x14ac:dyDescent="0.25">
      <c r="A17" s="4" t="s">
        <v>96</v>
      </c>
      <c r="B17" s="4" t="s">
        <v>97</v>
      </c>
      <c r="C17" s="4"/>
      <c r="D17" s="4"/>
      <c r="E17" s="4"/>
      <c r="F17" s="4"/>
      <c r="G17" s="4"/>
      <c r="H17" s="4"/>
      <c r="I17" s="4"/>
      <c r="J17" s="4"/>
      <c r="K17" s="4"/>
    </row>
    <row r="18" spans="1:11" x14ac:dyDescent="0.25">
      <c r="A18" s="4" t="s">
        <v>98</v>
      </c>
      <c r="B18" s="4" t="s">
        <v>99</v>
      </c>
      <c r="C18" s="4"/>
      <c r="D18" s="4"/>
      <c r="E18" s="4"/>
      <c r="F18" s="4"/>
      <c r="G18" s="4"/>
      <c r="H18" s="4"/>
      <c r="I18" s="4"/>
      <c r="J18" s="4"/>
      <c r="K18" s="4"/>
    </row>
    <row r="19" spans="1:11" x14ac:dyDescent="0.25">
      <c r="A19" s="4" t="s">
        <v>100</v>
      </c>
      <c r="B19" s="4" t="s">
        <v>101</v>
      </c>
      <c r="C19" s="4"/>
      <c r="D19" s="4"/>
      <c r="E19" s="4"/>
      <c r="F19" s="4"/>
      <c r="G19" s="4"/>
      <c r="H19" s="4"/>
      <c r="I19" s="4"/>
      <c r="J19" s="4"/>
      <c r="K19" s="4"/>
    </row>
    <row r="20" spans="1:11" x14ac:dyDescent="0.25">
      <c r="A20" s="4" t="s">
        <v>102</v>
      </c>
      <c r="B20" s="4" t="s">
        <v>103</v>
      </c>
      <c r="C20" s="4"/>
      <c r="D20" s="4"/>
      <c r="E20" s="4"/>
      <c r="F20" s="4"/>
      <c r="G20" s="4"/>
      <c r="H20" s="4"/>
      <c r="I20" s="4"/>
      <c r="J20" s="4"/>
      <c r="K20" s="4"/>
    </row>
    <row r="22" spans="1:11" x14ac:dyDescent="0.25">
      <c r="A22" s="11" t="s">
        <v>104</v>
      </c>
      <c r="B22" s="11"/>
      <c r="C22" s="11"/>
      <c r="D22" s="11"/>
      <c r="E22" s="11"/>
      <c r="F22" s="11"/>
      <c r="G22" s="11"/>
      <c r="H22" s="11"/>
      <c r="I22" s="11"/>
      <c r="J22" s="11"/>
      <c r="K22" s="11"/>
    </row>
    <row r="23" spans="1:11" x14ac:dyDescent="0.25">
      <c r="A23" s="11" t="s">
        <v>105</v>
      </c>
      <c r="B23" s="11"/>
      <c r="C23" s="11"/>
      <c r="D23" s="11"/>
      <c r="E23" s="11"/>
      <c r="F23" s="11"/>
      <c r="G23" s="11"/>
      <c r="H23" s="11"/>
      <c r="I23" s="11"/>
      <c r="J23" s="11"/>
      <c r="K23" s="11"/>
    </row>
  </sheetData>
  <mergeCells count="9">
    <mergeCell ref="A1:K1"/>
    <mergeCell ref="A2:K2"/>
    <mergeCell ref="A3:K3"/>
    <mergeCell ref="B17:K17"/>
    <mergeCell ref="B18:K18"/>
    <mergeCell ref="B19:K19"/>
    <mergeCell ref="B20:K20"/>
    <mergeCell ref="A22:K22"/>
    <mergeCell ref="A23:K23"/>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FormatPr defaultRowHeight="15" outlineLevelRow="0" outlineLevelCol="0" x14ac:dyDescent="55"/>
  <cols>
    <col min="1" max="1" width="8" customWidth="1"/>
    <col min="2" max="2" width="30" customWidth="1"/>
    <col min="3" max="6" width="12" customWidth="1"/>
    <col min="7" max="7" width="14" customWidth="1"/>
    <col min="8" max="8" width="12" customWidth="1"/>
    <col min="9" max="9" width="16" customWidth="1"/>
    <col min="10" max="10" width="40" customWidth="1"/>
  </cols>
  <sheetData>
    <row r="1" spans="1:10" x14ac:dyDescent="0.25">
      <c r="A1" s="1" t="s">
        <v>0</v>
      </c>
      <c r="B1" s="1"/>
      <c r="C1" s="1"/>
      <c r="D1" s="1"/>
      <c r="E1" s="1"/>
      <c r="F1" s="1"/>
      <c r="G1" s="1"/>
      <c r="H1" s="1"/>
      <c r="I1" s="1"/>
      <c r="J1" s="1"/>
    </row>
    <row r="2" spans="1:10" x14ac:dyDescent="0.25">
      <c r="A2" s="1" t="s">
        <v>106</v>
      </c>
      <c r="B2" s="1"/>
      <c r="C2" s="1"/>
      <c r="D2" s="1"/>
      <c r="E2" s="1"/>
      <c r="F2" s="1"/>
      <c r="G2" s="1"/>
      <c r="H2" s="1"/>
      <c r="I2" s="1"/>
      <c r="J2" s="1"/>
    </row>
    <row r="3" spans="1:10" x14ac:dyDescent="0.25">
      <c r="A3" s="2" t="s">
        <v>2</v>
      </c>
      <c r="B3" s="2"/>
      <c r="C3" s="2"/>
      <c r="D3" s="2"/>
      <c r="E3" s="2"/>
      <c r="F3" s="2"/>
      <c r="G3" s="2"/>
      <c r="H3" s="2"/>
      <c r="I3" s="2"/>
      <c r="J3" s="2"/>
    </row>
    <row r="5" spans="1:4" x14ac:dyDescent="0.25">
      <c r="A5" s="4" t="s">
        <v>107</v>
      </c>
      <c r="B5" s="5">
        <v>12</v>
      </c>
      <c r="C5" s="4" t="s">
        <v>108</v>
      </c>
      <c r="D5" s="6">
        <v>3000</v>
      </c>
    </row>
    <row r="7" spans="1:10" x14ac:dyDescent="0.25">
      <c r="A7" s="3" t="s">
        <v>50</v>
      </c>
      <c r="B7" s="3" t="s">
        <v>51</v>
      </c>
      <c r="C7" s="3" t="s">
        <v>109</v>
      </c>
      <c r="D7" s="3" t="s">
        <v>110</v>
      </c>
      <c r="E7" s="3" t="s">
        <v>111</v>
      </c>
      <c r="F7" s="3" t="s">
        <v>112</v>
      </c>
      <c r="G7" s="3" t="s">
        <v>113</v>
      </c>
      <c r="H7" s="3" t="s">
        <v>114</v>
      </c>
      <c r="I7" s="3" t="s">
        <v>115</v>
      </c>
      <c r="J7" s="3" t="s">
        <v>116</v>
      </c>
    </row>
    <row r="8" spans="1:10" x14ac:dyDescent="0.25">
      <c r="A8" s="4" t="s">
        <v>61</v>
      </c>
      <c r="B8" s="4" t="s">
        <v>62</v>
      </c>
      <c r="C8" s="12" t="s">
        <v>117</v>
      </c>
      <c r="D8" s="12" t="s">
        <v>117</v>
      </c>
      <c r="E8" s="12" t="s">
        <v>117</v>
      </c>
      <c r="F8" s="4">
        <f>IF(AND(C8="○",D8="○",E8="○"),"該当","非該当")</f>
      </c>
      <c r="G8" s="8">
        <f>'01_リース契約棚卸表'!J6</f>
      </c>
      <c r="H8" s="4">
        <f>IF('01_リース契約棚卸表'!E6&lt;=$B$5,"該当","—")</f>
      </c>
      <c r="I8" s="4">
        <f>IF(G8&lt;=$D$5,"該当","—")</f>
      </c>
      <c r="J8" s="4">
        <f>IF(F8&lt;&gt;"該当","リース非該当",IF(OR(H8="該当",I8="該当"),"免除（費用処理）","オンバランス"))</f>
      </c>
    </row>
    <row r="9" spans="1:10" x14ac:dyDescent="0.25">
      <c r="A9" s="4" t="s">
        <v>66</v>
      </c>
      <c r="B9" s="4" t="s">
        <v>67</v>
      </c>
      <c r="C9" s="12" t="s">
        <v>117</v>
      </c>
      <c r="D9" s="12" t="s">
        <v>117</v>
      </c>
      <c r="E9" s="12" t="s">
        <v>117</v>
      </c>
      <c r="F9" s="4">
        <f>IF(AND(C9="○",D9="○",E9="○"),"該当","非該当")</f>
      </c>
      <c r="G9" s="8">
        <f>'01_リース契約棚卸表'!J7</f>
      </c>
      <c r="H9" s="4">
        <f>IF('01_リース契約棚卸表'!E7&lt;=$B$5,"該当","—")</f>
      </c>
      <c r="I9" s="4">
        <f>IF(G9&lt;=$D$5,"該当","—")</f>
      </c>
      <c r="J9" s="4">
        <f>IF(F9&lt;&gt;"該当","リース非該当",IF(OR(H9="該当",I9="該当"),"免除（費用処理）","オンバランス"))</f>
      </c>
    </row>
    <row r="10" spans="1:10" x14ac:dyDescent="0.25">
      <c r="A10" s="4" t="s">
        <v>69</v>
      </c>
      <c r="B10" s="4" t="s">
        <v>70</v>
      </c>
      <c r="C10" s="12" t="s">
        <v>117</v>
      </c>
      <c r="D10" s="12" t="s">
        <v>117</v>
      </c>
      <c r="E10" s="12" t="s">
        <v>117</v>
      </c>
      <c r="F10" s="4">
        <f>IF(AND(C10="○",D10="○",E10="○"),"該当","非該当")</f>
      </c>
      <c r="G10" s="8">
        <f>'01_リース契約棚卸表'!J8</f>
      </c>
      <c r="H10" s="4">
        <f>IF('01_リース契約棚卸表'!E8&lt;=$B$5,"該当","—")</f>
      </c>
      <c r="I10" s="4">
        <f>IF(G10&lt;=$D$5,"該当","—")</f>
      </c>
      <c r="J10" s="4">
        <f>IF(F10&lt;&gt;"該当","リース非該当",IF(OR(H10="該当",I10="該当"),"免除（費用処理）","オンバランス"))</f>
      </c>
    </row>
    <row r="11" spans="1:10" x14ac:dyDescent="0.25">
      <c r="A11" s="4" t="s">
        <v>75</v>
      </c>
      <c r="B11" s="4" t="s">
        <v>76</v>
      </c>
      <c r="C11" s="12" t="s">
        <v>117</v>
      </c>
      <c r="D11" s="12" t="s">
        <v>117</v>
      </c>
      <c r="E11" s="12" t="s">
        <v>117</v>
      </c>
      <c r="F11" s="4">
        <f>IF(AND(C11="○",D11="○",E11="○"),"該当","非該当")</f>
      </c>
      <c r="G11" s="8">
        <f>'01_リース契約棚卸表'!J9</f>
      </c>
      <c r="H11" s="4">
        <f>IF('01_リース契約棚卸表'!E9&lt;=$B$5,"該当","—")</f>
      </c>
      <c r="I11" s="4">
        <f>IF(G11&lt;=$D$5,"該当","—")</f>
      </c>
      <c r="J11" s="4">
        <f>IF(F11&lt;&gt;"該当","リース非該当",IF(OR(H11="該当",I11="該当"),"免除（費用処理）","オンバランス"))</f>
      </c>
    </row>
    <row r="12" spans="1:10" x14ac:dyDescent="0.25">
      <c r="A12" s="4" t="s">
        <v>78</v>
      </c>
      <c r="B12" s="4" t="s">
        <v>79</v>
      </c>
      <c r="C12" s="12" t="s">
        <v>117</v>
      </c>
      <c r="D12" s="12" t="s">
        <v>117</v>
      </c>
      <c r="E12" s="12" t="s">
        <v>117</v>
      </c>
      <c r="F12" s="4">
        <f>IF(AND(C12="○",D12="○",E12="○"),"該当","非該当")</f>
      </c>
      <c r="G12" s="8">
        <f>'01_リース契約棚卸表'!J10</f>
      </c>
      <c r="H12" s="4">
        <f>IF('01_リース契約棚卸表'!E10&lt;=$B$5,"該当","—")</f>
      </c>
      <c r="I12" s="4">
        <f>IF(G12&lt;=$D$5,"該当","—")</f>
      </c>
      <c r="J12" s="4">
        <f>IF(F12&lt;&gt;"該当","リース非該当",IF(OR(H12="該当",I12="該当"),"免除（費用処理）","オンバランス"))</f>
      </c>
    </row>
    <row r="13" spans="1:10" x14ac:dyDescent="0.25">
      <c r="A13" s="4" t="s">
        <v>82</v>
      </c>
      <c r="B13" s="4" t="s">
        <v>83</v>
      </c>
      <c r="C13" s="12" t="s">
        <v>117</v>
      </c>
      <c r="D13" s="12" t="s">
        <v>117</v>
      </c>
      <c r="E13" s="12" t="s">
        <v>117</v>
      </c>
      <c r="F13" s="4">
        <f>IF(AND(C13="○",D13="○",E13="○"),"該当","非該当")</f>
      </c>
      <c r="G13" s="8">
        <f>'01_リース契約棚卸表'!J11</f>
      </c>
      <c r="H13" s="4">
        <f>IF('01_リース契約棚卸表'!E11&lt;=$B$5,"該当","—")</f>
      </c>
      <c r="I13" s="4">
        <f>IF(G13&lt;=$D$5,"該当","—")</f>
      </c>
      <c r="J13" s="4">
        <f>IF(F13&lt;&gt;"該当","リース非該当",IF(OR(H13="該当",I13="該当"),"免除（費用処理）","オンバランス"))</f>
      </c>
    </row>
    <row r="14" spans="1:10" x14ac:dyDescent="0.25">
      <c r="A14" s="4" t="s">
        <v>86</v>
      </c>
      <c r="B14" s="4" t="s">
        <v>87</v>
      </c>
      <c r="C14" s="12" t="s">
        <v>117</v>
      </c>
      <c r="D14" s="12" t="s">
        <v>117</v>
      </c>
      <c r="E14" s="12" t="s">
        <v>117</v>
      </c>
      <c r="F14" s="4">
        <f>IF(AND(C14="○",D14="○",E14="○"),"該当","非該当")</f>
      </c>
      <c r="G14" s="8">
        <f>'01_リース契約棚卸表'!J12</f>
      </c>
      <c r="H14" s="4">
        <f>IF('01_リース契約棚卸表'!E12&lt;=$B$5,"該当","—")</f>
      </c>
      <c r="I14" s="4">
        <f>IF(G14&lt;=$D$5,"該当","—")</f>
      </c>
      <c r="J14" s="4">
        <f>IF(F14&lt;&gt;"該当","リース非該当",IF(OR(H14="該当",I14="該当"),"免除（費用処理）","オンバランス"))</f>
      </c>
    </row>
    <row r="15" spans="1:10" x14ac:dyDescent="0.25">
      <c r="A15" s="4" t="s">
        <v>89</v>
      </c>
      <c r="B15" s="4" t="s">
        <v>90</v>
      </c>
      <c r="C15" s="12" t="s">
        <v>117</v>
      </c>
      <c r="D15" s="12" t="s">
        <v>117</v>
      </c>
      <c r="E15" s="12" t="s">
        <v>117</v>
      </c>
      <c r="F15" s="4">
        <f>IF(AND(C15="○",D15="○",E15="○"),"該当","非該当")</f>
      </c>
      <c r="G15" s="8">
        <f>'01_リース契約棚卸表'!J13</f>
      </c>
      <c r="H15" s="4">
        <f>IF('01_リース契約棚卸表'!E13&lt;=$B$5,"該当","—")</f>
      </c>
      <c r="I15" s="4">
        <f>IF(G15&lt;=$D$5,"該当","—")</f>
      </c>
      <c r="J15" s="4">
        <f>IF(F15&lt;&gt;"該当","リース非該当",IF(OR(H15="該当",I15="該当"),"免除（費用処理）","オンバランス"))</f>
      </c>
    </row>
    <row r="17" spans="1:10" x14ac:dyDescent="0.25">
      <c r="A17" s="11" t="s">
        <v>118</v>
      </c>
      <c r="B17" s="11"/>
      <c r="C17" s="11"/>
      <c r="D17" s="11"/>
      <c r="E17" s="11"/>
      <c r="F17" s="11"/>
      <c r="G17" s="11"/>
      <c r="H17" s="11"/>
      <c r="I17" s="11"/>
      <c r="J17" s="11"/>
    </row>
    <row r="18" spans="1:10" x14ac:dyDescent="0.25">
      <c r="A18" s="11" t="s">
        <v>119</v>
      </c>
      <c r="B18" s="11"/>
      <c r="C18" s="11"/>
      <c r="D18" s="11"/>
      <c r="E18" s="11"/>
      <c r="F18" s="11"/>
      <c r="G18" s="11"/>
      <c r="H18" s="11"/>
      <c r="I18" s="11"/>
      <c r="J18" s="11"/>
    </row>
    <row r="19" spans="1:10" x14ac:dyDescent="0.25">
      <c r="A19" s="11" t="s">
        <v>120</v>
      </c>
      <c r="B19" s="11"/>
      <c r="C19" s="11"/>
      <c r="D19" s="11"/>
      <c r="E19" s="11"/>
      <c r="F19" s="11"/>
      <c r="G19" s="11"/>
      <c r="H19" s="11"/>
      <c r="I19" s="11"/>
      <c r="J19" s="11"/>
    </row>
  </sheetData>
  <mergeCells count="6">
    <mergeCell ref="A1:J1"/>
    <mergeCell ref="A2:J2"/>
    <mergeCell ref="A3:J3"/>
    <mergeCell ref="A17:J17"/>
    <mergeCell ref="A18:J18"/>
    <mergeCell ref="A19:J19"/>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FormatPr defaultRowHeight="15" outlineLevelRow="0" outlineLevelCol="0" x14ac:dyDescent="55"/>
  <cols>
    <col min="1" max="1" width="8" customWidth="1"/>
    <col min="2" max="2" width="30" customWidth="1"/>
    <col min="3" max="3" width="12" customWidth="1"/>
    <col min="4" max="4" width="14" customWidth="1"/>
    <col min="5" max="6" width="16" customWidth="1"/>
    <col min="7" max="7" width="46" customWidth="1"/>
  </cols>
  <sheetData>
    <row r="1" spans="1:7" x14ac:dyDescent="0.25">
      <c r="A1" s="1" t="s">
        <v>0</v>
      </c>
      <c r="B1" s="1"/>
      <c r="C1" s="1"/>
      <c r="D1" s="1"/>
      <c r="E1" s="1"/>
      <c r="F1" s="1"/>
      <c r="G1" s="1"/>
    </row>
    <row r="2" spans="1:7" x14ac:dyDescent="0.25">
      <c r="A2" s="1" t="s">
        <v>121</v>
      </c>
      <c r="B2" s="1"/>
      <c r="C2" s="1"/>
      <c r="D2" s="1"/>
      <c r="E2" s="1"/>
      <c r="F2" s="1"/>
      <c r="G2" s="1"/>
    </row>
    <row r="3" spans="1:7" x14ac:dyDescent="0.25">
      <c r="A3" s="2" t="s">
        <v>2</v>
      </c>
      <c r="B3" s="2"/>
      <c r="C3" s="2"/>
      <c r="D3" s="2"/>
      <c r="E3" s="2"/>
      <c r="F3" s="2"/>
      <c r="G3" s="2"/>
    </row>
    <row r="5" spans="1:3" x14ac:dyDescent="0.25">
      <c r="A5" s="3" t="s">
        <v>122</v>
      </c>
      <c r="B5" s="3" t="s">
        <v>123</v>
      </c>
      <c r="C5" s="3" t="s">
        <v>124</v>
      </c>
    </row>
    <row r="6" spans="1:7" x14ac:dyDescent="0.25">
      <c r="A6" s="5">
        <v>24</v>
      </c>
      <c r="B6" s="13">
        <v>0.008</v>
      </c>
      <c r="C6" s="4" t="s">
        <v>125</v>
      </c>
      <c r="D6" s="4"/>
      <c r="E6" s="4"/>
      <c r="F6" s="4"/>
      <c r="G6" s="4"/>
    </row>
    <row r="7" spans="1:7" x14ac:dyDescent="0.25">
      <c r="A7" s="5">
        <v>36</v>
      </c>
      <c r="B7" s="13">
        <v>0.01</v>
      </c>
      <c r="C7" s="4" t="s">
        <v>126</v>
      </c>
      <c r="D7" s="4"/>
      <c r="E7" s="4"/>
      <c r="F7" s="4"/>
      <c r="G7" s="4"/>
    </row>
    <row r="8" spans="1:7" x14ac:dyDescent="0.25">
      <c r="A8" s="5">
        <v>60</v>
      </c>
      <c r="B8" s="13">
        <v>0.013</v>
      </c>
      <c r="C8" s="4" t="s">
        <v>126</v>
      </c>
      <c r="D8" s="4"/>
      <c r="E8" s="4"/>
      <c r="F8" s="4"/>
      <c r="G8" s="4"/>
    </row>
    <row r="9" spans="1:7" x14ac:dyDescent="0.25">
      <c r="A9" s="5">
        <v>120</v>
      </c>
      <c r="B9" s="13">
        <v>0.017</v>
      </c>
      <c r="C9" s="4" t="s">
        <v>127</v>
      </c>
      <c r="D9" s="4"/>
      <c r="E9" s="4"/>
      <c r="F9" s="4"/>
      <c r="G9" s="4"/>
    </row>
    <row r="11" spans="1:7" x14ac:dyDescent="0.25">
      <c r="A11" s="3" t="s">
        <v>50</v>
      </c>
      <c r="B11" s="3" t="s">
        <v>51</v>
      </c>
      <c r="C11" s="3" t="s">
        <v>54</v>
      </c>
      <c r="D11" s="3" t="s">
        <v>128</v>
      </c>
      <c r="E11" s="3" t="s">
        <v>129</v>
      </c>
      <c r="F11" s="3" t="s">
        <v>130</v>
      </c>
      <c r="G11" s="3" t="s">
        <v>60</v>
      </c>
    </row>
    <row r="12" spans="1:7" x14ac:dyDescent="0.25">
      <c r="A12" s="4" t="s">
        <v>61</v>
      </c>
      <c r="B12" s="4" t="s">
        <v>62</v>
      </c>
      <c r="C12" s="14">
        <f>'01_リース契約棚卸表'!E6</f>
      </c>
      <c r="D12" s="15">
        <f>INDEX($B$6:$B$9,MATCH(TRUE,INDEX($A$6:$A$9&gt;=C12,0),0))</f>
      </c>
      <c r="E12" s="16">
        <f>(1+D12)^(1/12)-1</f>
      </c>
      <c r="F12" s="4" t="s">
        <v>131</v>
      </c>
      <c r="G12" s="4" t="s">
        <v>92</v>
      </c>
    </row>
    <row r="13" spans="1:7" x14ac:dyDescent="0.25">
      <c r="A13" s="4" t="s">
        <v>66</v>
      </c>
      <c r="B13" s="4" t="s">
        <v>67</v>
      </c>
      <c r="C13" s="14">
        <f>'01_リース契約棚卸表'!E7</f>
      </c>
      <c r="D13" s="15">
        <f>INDEX($B$6:$B$9,MATCH(TRUE,INDEX($A$6:$A$9&gt;=C13,0),0))</f>
      </c>
      <c r="E13" s="16">
        <f>(1+D13)^(1/12)-1</f>
      </c>
      <c r="F13" s="4" t="s">
        <v>131</v>
      </c>
      <c r="G13" s="4" t="s">
        <v>92</v>
      </c>
    </row>
    <row r="14" spans="1:7" x14ac:dyDescent="0.25">
      <c r="A14" s="4" t="s">
        <v>69</v>
      </c>
      <c r="B14" s="4" t="s">
        <v>70</v>
      </c>
      <c r="C14" s="14">
        <f>'01_リース契約棚卸表'!E8</f>
      </c>
      <c r="D14" s="15">
        <f>INDEX($B$6:$B$9,MATCH(TRUE,INDEX($A$6:$A$9&gt;=C14,0),0))</f>
      </c>
      <c r="E14" s="16">
        <f>RATE(C14,-'01_リース契約棚卸表'!F8,62400,0,0)</f>
      </c>
      <c r="F14" s="4" t="s">
        <v>132</v>
      </c>
      <c r="G14" s="4" t="s">
        <v>133</v>
      </c>
    </row>
    <row r="15" spans="1:7" x14ac:dyDescent="0.25">
      <c r="A15" s="4" t="s">
        <v>75</v>
      </c>
      <c r="B15" s="4" t="s">
        <v>76</v>
      </c>
      <c r="C15" s="14">
        <f>'01_リース契約棚卸表'!E9</f>
      </c>
      <c r="D15" s="15">
        <f>INDEX($B$6:$B$9,MATCH(TRUE,INDEX($A$6:$A$9&gt;=C15,0),0))</f>
      </c>
      <c r="E15" s="16">
        <f>(1+D15)^(1/12)-1</f>
      </c>
      <c r="F15" s="4" t="s">
        <v>131</v>
      </c>
      <c r="G15" s="4" t="s">
        <v>92</v>
      </c>
    </row>
    <row r="16" spans="1:7" x14ac:dyDescent="0.25">
      <c r="A16" s="4" t="s">
        <v>78</v>
      </c>
      <c r="B16" s="4" t="s">
        <v>79</v>
      </c>
      <c r="C16" s="14">
        <f>'01_リース契約棚卸表'!E10</f>
      </c>
      <c r="D16" s="15">
        <f>INDEX($B$6:$B$9,MATCH(TRUE,INDEX($A$6:$A$9&gt;=C16,0),0))</f>
      </c>
      <c r="E16" s="16">
        <f>(1+D16)^(1/12)-1</f>
      </c>
      <c r="F16" s="4" t="s">
        <v>131</v>
      </c>
      <c r="G16" s="4" t="s">
        <v>92</v>
      </c>
    </row>
    <row r="17" spans="1:7" x14ac:dyDescent="0.25">
      <c r="A17" s="4" t="s">
        <v>82</v>
      </c>
      <c r="B17" s="4" t="s">
        <v>83</v>
      </c>
      <c r="C17" s="14">
        <f>'01_リース契約棚卸表'!E11</f>
      </c>
      <c r="D17" s="15">
        <f>INDEX($B$6:$B$9,MATCH(TRUE,INDEX($A$6:$A$9&gt;=C17,0),0))</f>
      </c>
      <c r="E17" s="16">
        <f>(1+D17)^(1/12)-1</f>
      </c>
      <c r="F17" s="4" t="s">
        <v>131</v>
      </c>
      <c r="G17" s="4" t="s">
        <v>92</v>
      </c>
    </row>
    <row r="18" spans="1:7" x14ac:dyDescent="0.25">
      <c r="A18" s="4" t="s">
        <v>86</v>
      </c>
      <c r="B18" s="4" t="s">
        <v>87</v>
      </c>
      <c r="C18" s="14">
        <f>'01_リース契約棚卸表'!E12</f>
      </c>
      <c r="D18" s="15">
        <f>INDEX($B$6:$B$9,MATCH(TRUE,INDEX($A$6:$A$9&gt;=C18,0),0))</f>
      </c>
      <c r="E18" s="16">
        <f>(1+D18)^(1/12)-1</f>
      </c>
      <c r="F18" s="4" t="s">
        <v>131</v>
      </c>
      <c r="G18" s="4" t="s">
        <v>92</v>
      </c>
    </row>
    <row r="19" spans="1:7" x14ac:dyDescent="0.25">
      <c r="A19" s="4" t="s">
        <v>89</v>
      </c>
      <c r="B19" s="4" t="s">
        <v>90</v>
      </c>
      <c r="C19" s="14">
        <f>'01_リース契約棚卸表'!E13</f>
      </c>
      <c r="D19" s="15">
        <f>INDEX($B$6:$B$9,MATCH(TRUE,INDEX($A$6:$A$9&gt;=C19,0),0))</f>
      </c>
      <c r="E19" s="16">
        <f>(1+D19)^(1/12)-1</f>
      </c>
      <c r="F19" s="4" t="s">
        <v>131</v>
      </c>
      <c r="G19" s="4" t="s">
        <v>92</v>
      </c>
    </row>
    <row r="21" spans="1:7" x14ac:dyDescent="0.25">
      <c r="A21" s="11" t="s">
        <v>134</v>
      </c>
      <c r="B21" s="11"/>
      <c r="C21" s="11"/>
      <c r="D21" s="11"/>
      <c r="E21" s="11"/>
      <c r="F21" s="11"/>
      <c r="G21" s="11"/>
    </row>
  </sheetData>
  <mergeCells count="8">
    <mergeCell ref="A1:G1"/>
    <mergeCell ref="A2:G2"/>
    <mergeCell ref="A3:G3"/>
    <mergeCell ref="C6:G6"/>
    <mergeCell ref="C7:G7"/>
    <mergeCell ref="C8:G8"/>
    <mergeCell ref="C9:G9"/>
    <mergeCell ref="A21:G21"/>
  </mergeCell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FormatPr defaultRowHeight="15" outlineLevelRow="0" outlineLevelCol="0" x14ac:dyDescent="55"/>
  <cols>
    <col min="1" max="1" width="8" customWidth="1"/>
    <col min="2" max="2" width="28" customWidth="1"/>
    <col min="3" max="9" width="14" customWidth="1"/>
    <col min="10" max="10" width="12" customWidth="1"/>
  </cols>
  <sheetData>
    <row r="1" spans="1:10" x14ac:dyDescent="0.25">
      <c r="A1" s="1" t="s">
        <v>0</v>
      </c>
      <c r="B1" s="1"/>
      <c r="C1" s="1"/>
      <c r="D1" s="1"/>
      <c r="E1" s="1"/>
      <c r="F1" s="1"/>
      <c r="G1" s="1"/>
      <c r="H1" s="1"/>
      <c r="I1" s="1"/>
      <c r="J1" s="1"/>
    </row>
    <row r="2" spans="1:10" x14ac:dyDescent="0.25">
      <c r="A2" s="1" t="s">
        <v>135</v>
      </c>
      <c r="B2" s="1"/>
      <c r="C2" s="1"/>
      <c r="D2" s="1"/>
      <c r="E2" s="1"/>
      <c r="F2" s="1"/>
      <c r="G2" s="1"/>
      <c r="H2" s="1"/>
      <c r="I2" s="1"/>
      <c r="J2" s="1"/>
    </row>
    <row r="3" spans="1:10" x14ac:dyDescent="0.25">
      <c r="A3" s="2" t="s">
        <v>2</v>
      </c>
      <c r="B3" s="2"/>
      <c r="C3" s="2"/>
      <c r="D3" s="2"/>
      <c r="E3" s="2"/>
      <c r="F3" s="2"/>
      <c r="G3" s="2"/>
      <c r="H3" s="2"/>
      <c r="I3" s="2"/>
      <c r="J3" s="2"/>
    </row>
    <row r="5" spans="1:10" x14ac:dyDescent="0.25">
      <c r="A5" s="3" t="s">
        <v>50</v>
      </c>
      <c r="B5" s="3" t="s">
        <v>51</v>
      </c>
      <c r="C5" s="3" t="s">
        <v>136</v>
      </c>
      <c r="D5" s="3" t="s">
        <v>59</v>
      </c>
      <c r="E5" s="3" t="s">
        <v>137</v>
      </c>
      <c r="F5" s="3" t="s">
        <v>138</v>
      </c>
      <c r="G5" s="3" t="s">
        <v>139</v>
      </c>
      <c r="H5" s="3" t="s">
        <v>140</v>
      </c>
      <c r="I5" s="3" t="s">
        <v>141</v>
      </c>
      <c r="J5" s="3" t="s">
        <v>142</v>
      </c>
    </row>
    <row r="6" spans="1:10" x14ac:dyDescent="0.25">
      <c r="A6" s="4" t="s">
        <v>61</v>
      </c>
      <c r="B6" s="4" t="s">
        <v>62</v>
      </c>
      <c r="C6" s="4">
        <f>IF('02_識別・免除の判定'!J8="免除（費用処理）","免除","算定")</f>
      </c>
      <c r="D6" s="8">
        <f>IF('02_識別・免除の判定'!J8="オンバランス",'01_リース契約棚卸表'!J6,0)</f>
      </c>
      <c r="E6" s="8">
        <f>IF('02_識別・免除の判定'!J8="オンバランス",IF('03_リース期間と割引率'!E12=0,'01_リース契約棚卸表'!F6*'01_リース契約棚卸表'!E6,'01_リース契約棚卸表'!F6*(1-(1+'03_リース期間と割引率'!E12)^-'01_リース契約棚卸表'!E6)/'03_リース期間と割引率'!E12*(1+'03_リース期間と割引率'!E12)),0)</f>
      </c>
      <c r="F6" s="8">
        <f>D6-E6</f>
      </c>
      <c r="G6" s="8">
        <f>IF('02_識別・免除の判定'!J8="オンバランス",'01_リース契約棚卸表'!H6-'01_リース契約棚卸表'!I6,0)</f>
      </c>
      <c r="H6" s="8">
        <f>IF('02_識別・免除の判定'!J8="オンバランス",E6+G6,0)</f>
      </c>
      <c r="I6" s="8">
        <v>0</v>
      </c>
      <c r="J6" s="8">
        <f>H6-E6-G6-I6</f>
      </c>
    </row>
    <row r="7" spans="1:10" x14ac:dyDescent="0.25">
      <c r="A7" s="4" t="s">
        <v>66</v>
      </c>
      <c r="B7" s="4" t="s">
        <v>67</v>
      </c>
      <c r="C7" s="4">
        <f>IF('02_識別・免除の判定'!J9="免除（費用処理）","免除","算定")</f>
      </c>
      <c r="D7" s="8">
        <f>IF('02_識別・免除の判定'!J9="オンバランス",'01_リース契約棚卸表'!J7,0)</f>
      </c>
      <c r="E7" s="8">
        <f>IF('02_識別・免除の判定'!J9="オンバランス",IF('03_リース期間と割引率'!E13=0,'01_リース契約棚卸表'!F7*'01_リース契約棚卸表'!E7,'01_リース契約棚卸表'!F7*(1-(1+'03_リース期間と割引率'!E13)^-'01_リース契約棚卸表'!E7)/'03_リース期間と割引率'!E13*(1+'03_リース期間と割引率'!E13)),0)</f>
      </c>
      <c r="F7" s="8">
        <f>D7-E7</f>
      </c>
      <c r="G7" s="8">
        <f>IF('02_識別・免除の判定'!J9="オンバランス",'01_リース契約棚卸表'!H7-'01_リース契約棚卸表'!I7,0)</f>
      </c>
      <c r="H7" s="8">
        <f>IF('02_識別・免除の判定'!J9="オンバランス",E7+G7,0)</f>
      </c>
      <c r="I7" s="8">
        <v>0</v>
      </c>
      <c r="J7" s="8">
        <f>H7-E7-G7-I7</f>
      </c>
    </row>
    <row r="8" spans="1:10" x14ac:dyDescent="0.25">
      <c r="A8" s="4" t="s">
        <v>69</v>
      </c>
      <c r="B8" s="4" t="s">
        <v>70</v>
      </c>
      <c r="C8" s="4">
        <f>IF('02_識別・免除の判定'!J10="免除（費用処理）","免除","引継ぎ")</f>
      </c>
      <c r="D8" s="8">
        <f>IF('02_識別・免除の判定'!J10="オンバランス",'01_リース契約棚卸表'!J8,0)</f>
      </c>
      <c r="E8" s="8">
        <f>62400</f>
      </c>
      <c r="F8" s="8">
        <f>D8-E8</f>
      </c>
      <c r="G8" s="8">
        <f>IF('02_識別・免除の判定'!J10="オンバランス",'01_リース契約棚卸表'!H8-'01_リース契約棚卸表'!I8,0)</f>
      </c>
      <c r="H8" s="8">
        <f>60200</f>
      </c>
      <c r="I8" s="8">
        <v>-2200</v>
      </c>
      <c r="J8" s="8">
        <f>H8-E8-G8-I8</f>
      </c>
    </row>
    <row r="9" spans="1:10" x14ac:dyDescent="0.25">
      <c r="A9" s="4" t="s">
        <v>75</v>
      </c>
      <c r="B9" s="4" t="s">
        <v>76</v>
      </c>
      <c r="C9" s="4">
        <f>IF('02_識別・免除の判定'!J11="免除（費用処理）","免除","算定")</f>
      </c>
      <c r="D9" s="8">
        <f>IF('02_識別・免除の判定'!J11="オンバランス",'01_リース契約棚卸表'!J9,0)</f>
      </c>
      <c r="E9" s="8">
        <f>IF('02_識別・免除の判定'!J11="オンバランス",IF('03_リース期間と割引率'!E15=0,'01_リース契約棚卸表'!F9*'01_リース契約棚卸表'!E9,'01_リース契約棚卸表'!F9*(1-(1+'03_リース期間と割引率'!E15)^-'01_リース契約棚卸表'!E9)/'03_リース期間と割引率'!E15),0)</f>
      </c>
      <c r="F9" s="8">
        <f>D9-E9</f>
      </c>
      <c r="G9" s="8">
        <f>IF('02_識別・免除の判定'!J11="オンバランス",'01_リース契約棚卸表'!H9-'01_リース契約棚卸表'!I9,0)</f>
      </c>
      <c r="H9" s="8">
        <f>IF('02_識別・免除の判定'!J11="オンバランス",E9+G9,0)</f>
      </c>
      <c r="I9" s="8">
        <v>0</v>
      </c>
      <c r="J9" s="8">
        <f>H9-E9-G9-I9</f>
      </c>
    </row>
    <row r="10" spans="1:10" x14ac:dyDescent="0.25">
      <c r="A10" s="4" t="s">
        <v>78</v>
      </c>
      <c r="B10" s="4" t="s">
        <v>79</v>
      </c>
      <c r="C10" s="4">
        <f>IF('02_識別・免除の判定'!J12="免除（費用処理）","免除","算定")</f>
      </c>
      <c r="D10" s="8">
        <f>IF('02_識別・免除の判定'!J12="オンバランス",'01_リース契約棚卸表'!J10,0)</f>
      </c>
      <c r="E10" s="8">
        <f>IF('02_識別・免除の判定'!J12="オンバランス",IF('03_リース期間と割引率'!E16=0,'01_リース契約棚卸表'!F10*'01_リース契約棚卸表'!E10,'01_リース契約棚卸表'!F10*(1-(1+'03_リース期間と割引率'!E16)^-'01_リース契約棚卸表'!E10)/'03_リース期間と割引率'!E16),0)</f>
      </c>
      <c r="F10" s="8">
        <f>D10-E10</f>
      </c>
      <c r="G10" s="8">
        <f>IF('02_識別・免除の判定'!J12="オンバランス",'01_リース契約棚卸表'!H10-'01_リース契約棚卸表'!I10,0)</f>
      </c>
      <c r="H10" s="8">
        <f>IF('02_識別・免除の判定'!J12="オンバランス",E10+G10,0)</f>
      </c>
      <c r="I10" s="8">
        <v>0</v>
      </c>
      <c r="J10" s="8">
        <f>H10-E10-G10-I10</f>
      </c>
    </row>
    <row r="11" spans="1:10" x14ac:dyDescent="0.25">
      <c r="A11" s="4" t="s">
        <v>82</v>
      </c>
      <c r="B11" s="4" t="s">
        <v>83</v>
      </c>
      <c r="C11" s="4">
        <f>IF('02_識別・免除の判定'!J13="免除（費用処理）","免除","算定")</f>
      </c>
      <c r="D11" s="8">
        <f>IF('02_識別・免除の判定'!J13="オンバランス",'01_リース契約棚卸表'!J11,0)</f>
      </c>
      <c r="E11" s="8">
        <f>IF('02_識別・免除の判定'!J13="オンバランス",IF('03_リース期間と割引率'!E17=0,'01_リース契約棚卸表'!F11*'01_リース契約棚卸表'!E11,'01_リース契約棚卸表'!F11*(1-(1+'03_リース期間と割引率'!E17)^-'01_リース契約棚卸表'!E11)/'03_リース期間と割引率'!E17),0)</f>
      </c>
      <c r="F11" s="8">
        <f>D11-E11</f>
      </c>
      <c r="G11" s="8">
        <f>IF('02_識別・免除の判定'!J13="オンバランス",'01_リース契約棚卸表'!H11-'01_リース契約棚卸表'!I11,0)</f>
      </c>
      <c r="H11" s="8">
        <f>IF('02_識別・免除の判定'!J13="オンバランス",E11+G11,0)</f>
      </c>
      <c r="I11" s="8">
        <v>0</v>
      </c>
      <c r="J11" s="8">
        <f>H11-E11-G11-I11</f>
      </c>
    </row>
    <row r="12" spans="1:10" x14ac:dyDescent="0.25">
      <c r="A12" s="4" t="s">
        <v>86</v>
      </c>
      <c r="B12" s="4" t="s">
        <v>87</v>
      </c>
      <c r="C12" s="4">
        <f>IF('02_識別・免除の判定'!J14="免除（費用処理）","免除","算定")</f>
      </c>
      <c r="D12" s="8">
        <f>IF('02_識別・免除の判定'!J14="オンバランス",'01_リース契約棚卸表'!J12,0)</f>
      </c>
      <c r="E12" s="8">
        <f>IF('02_識別・免除の判定'!J14="オンバランス",IF('03_リース期間と割引率'!E18=0,'01_リース契約棚卸表'!F12*'01_リース契約棚卸表'!E12,'01_リース契約棚卸表'!F12*(1-(1+'03_リース期間と割引率'!E18)^-'01_リース契約棚卸表'!E12)/'03_リース期間と割引率'!E18),0)</f>
      </c>
      <c r="F12" s="8">
        <f>D12-E12</f>
      </c>
      <c r="G12" s="8">
        <f>IF('02_識別・免除の判定'!J14="オンバランス",'01_リース契約棚卸表'!H12-'01_リース契約棚卸表'!I12,0)</f>
      </c>
      <c r="H12" s="8">
        <f>IF('02_識別・免除の判定'!J14="オンバランス",E12+G12,0)</f>
      </c>
      <c r="I12" s="8">
        <v>0</v>
      </c>
      <c r="J12" s="8">
        <f>H12-E12-G12-I12</f>
      </c>
    </row>
    <row r="13" spans="1:10" x14ac:dyDescent="0.25">
      <c r="A13" s="4" t="s">
        <v>89</v>
      </c>
      <c r="B13" s="4" t="s">
        <v>90</v>
      </c>
      <c r="C13" s="4">
        <f>IF('02_識別・免除の判定'!J15="免除（費用処理）","免除","算定")</f>
      </c>
      <c r="D13" s="8">
        <f>IF('02_識別・免除の判定'!J15="オンバランス",'01_リース契約棚卸表'!J13,0)</f>
      </c>
      <c r="E13" s="8">
        <f>IF('02_識別・免除の判定'!J15="オンバランス",IF('03_リース期間と割引率'!E19=0,'01_リース契約棚卸表'!F13*'01_リース契約棚卸表'!E13,'01_リース契約棚卸表'!F13*(1-(1+'03_リース期間と割引率'!E19)^-'01_リース契約棚卸表'!E13)/'03_リース期間と割引率'!E19),0)</f>
      </c>
      <c r="F13" s="8">
        <f>D13-E13</f>
      </c>
      <c r="G13" s="8">
        <f>IF('02_識別・免除の判定'!J15="オンバランス",'01_リース契約棚卸表'!H13-'01_リース契約棚卸表'!I13,0)</f>
      </c>
      <c r="H13" s="8">
        <f>IF('02_識別・免除の判定'!J15="オンバランス",E13+G13,0)</f>
      </c>
      <c r="I13" s="8">
        <v>0</v>
      </c>
      <c r="J13" s="8">
        <f>H13-E13-G13-I13</f>
      </c>
    </row>
    <row r="14" spans="1:10" x14ac:dyDescent="0.25">
      <c r="A14" s="9" t="s">
        <v>92</v>
      </c>
      <c r="B14" s="9" t="s">
        <v>93</v>
      </c>
      <c r="C14" s="9" t="s">
        <v>92</v>
      </c>
      <c r="D14" s="10">
        <f>SUM(D6:D13)</f>
      </c>
      <c r="E14" s="10">
        <f>SUM(E6:E13)</f>
      </c>
      <c r="F14" s="10">
        <f>SUM(F6:F13)</f>
      </c>
      <c r="G14" s="10">
        <f>SUM(G6:G13)</f>
      </c>
      <c r="H14" s="10">
        <f>SUM(H6:H13)</f>
      </c>
      <c r="I14" s="10">
        <f>SUM(I6:I13)</f>
      </c>
      <c r="J14" s="10">
        <f>SUM(J6:J13)</f>
      </c>
    </row>
    <row r="16" spans="1:10" x14ac:dyDescent="0.25">
      <c r="A16" s="4" t="s">
        <v>143</v>
      </c>
      <c r="B16" s="15">
        <f>IF(E14=0,0,SUMPRODUCT('03_リース期間と割引率'!D12:D19,E6:E13)/E14)</f>
      </c>
      <c r="C16" s="4" t="s">
        <v>144</v>
      </c>
      <c r="D16" s="4"/>
      <c r="E16" s="4"/>
      <c r="F16" s="4"/>
      <c r="G16" s="4"/>
      <c r="H16" s="4"/>
      <c r="I16" s="4"/>
      <c r="J16" s="4"/>
    </row>
    <row r="18" spans="1:10" x14ac:dyDescent="0.25">
      <c r="A18" s="11" t="s">
        <v>145</v>
      </c>
      <c r="B18" s="11"/>
      <c r="C18" s="11"/>
      <c r="D18" s="11"/>
      <c r="E18" s="11"/>
      <c r="F18" s="11"/>
      <c r="G18" s="11"/>
      <c r="H18" s="11"/>
      <c r="I18" s="11"/>
      <c r="J18" s="11"/>
    </row>
    <row r="19" spans="1:10" x14ac:dyDescent="0.25">
      <c r="A19" s="11" t="s">
        <v>146</v>
      </c>
      <c r="B19" s="11"/>
      <c r="C19" s="11"/>
      <c r="D19" s="11"/>
      <c r="E19" s="11"/>
      <c r="F19" s="11"/>
      <c r="G19" s="11"/>
      <c r="H19" s="11"/>
      <c r="I19" s="11"/>
      <c r="J19" s="11"/>
    </row>
  </sheetData>
  <mergeCells count="6">
    <mergeCell ref="A1:J1"/>
    <mergeCell ref="A2:J2"/>
    <mergeCell ref="A3:J3"/>
    <mergeCell ref="C16:J16"/>
    <mergeCell ref="A18:J18"/>
    <mergeCell ref="A19:J19"/>
  </mergeCell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
  <sheetFormatPr defaultRowHeight="15" outlineLevelRow="0" outlineLevelCol="0" x14ac:dyDescent="55"/>
  <cols>
    <col min="1" max="1" width="10" customWidth="1"/>
    <col min="2" max="5" width="16" customWidth="1"/>
    <col min="6" max="6" width="44" customWidth="1"/>
  </cols>
  <sheetData>
    <row r="1" spans="1:6" x14ac:dyDescent="0.25">
      <c r="A1" s="1" t="s">
        <v>0</v>
      </c>
      <c r="B1" s="1"/>
      <c r="C1" s="1"/>
      <c r="D1" s="1"/>
      <c r="E1" s="1"/>
      <c r="F1" s="1"/>
    </row>
    <row r="2" spans="1:6" x14ac:dyDescent="0.25">
      <c r="A2" s="1" t="s">
        <v>147</v>
      </c>
      <c r="B2" s="1"/>
      <c r="C2" s="1"/>
      <c r="D2" s="1"/>
      <c r="E2" s="1"/>
      <c r="F2" s="1"/>
    </row>
    <row r="3" spans="1:6" x14ac:dyDescent="0.25">
      <c r="A3" s="2" t="s">
        <v>2</v>
      </c>
      <c r="B3" s="2"/>
      <c r="C3" s="2"/>
      <c r="D3" s="2"/>
      <c r="E3" s="2"/>
      <c r="F3" s="2"/>
    </row>
    <row r="5" spans="1:6" x14ac:dyDescent="0.25">
      <c r="A5" s="4" t="s">
        <v>129</v>
      </c>
      <c r="B5" s="16">
        <f>'03_リース期間と割引率'!E14</f>
      </c>
      <c r="C5" s="4" t="s">
        <v>148</v>
      </c>
      <c r="D5" s="8">
        <f>'04_移行日の算定'!E8</f>
      </c>
      <c r="E5" s="4" t="s">
        <v>149</v>
      </c>
      <c r="F5" s="4" t="s">
        <v>73</v>
      </c>
    </row>
    <row r="7" spans="1:6" x14ac:dyDescent="0.25">
      <c r="A7" s="3" t="s">
        <v>150</v>
      </c>
      <c r="B7" s="3" t="s">
        <v>151</v>
      </c>
      <c r="C7" s="3" t="s">
        <v>152</v>
      </c>
      <c r="D7" s="3" t="s">
        <v>153</v>
      </c>
      <c r="E7" s="3" t="s">
        <v>154</v>
      </c>
      <c r="F7" s="3" t="s">
        <v>60</v>
      </c>
    </row>
    <row r="8" spans="1:6" x14ac:dyDescent="0.25">
      <c r="A8" s="4">
        <v>1</v>
      </c>
      <c r="B8" s="8">
        <f>$D$5</f>
      </c>
      <c r="C8" s="8">
        <f>B8*$B$5</f>
      </c>
      <c r="D8" s="8">
        <f>'01_リース契約棚卸表'!F8</f>
      </c>
      <c r="E8" s="8">
        <f>B8+C8-D8</f>
      </c>
      <c r="F8" s="4" t="s">
        <v>92</v>
      </c>
    </row>
    <row r="9" spans="1:6" x14ac:dyDescent="0.25">
      <c r="A9" s="4">
        <v>2</v>
      </c>
      <c r="B9" s="8">
        <f>E8</f>
      </c>
      <c r="C9" s="8">
        <f>B9*$B$5</f>
      </c>
      <c r="D9" s="8">
        <f>'01_リース契約棚卸表'!F8</f>
      </c>
      <c r="E9" s="8">
        <f>B9+C9-D9</f>
      </c>
      <c r="F9" s="4" t="s">
        <v>92</v>
      </c>
    </row>
    <row r="10" spans="1:6" x14ac:dyDescent="0.25">
      <c r="A10" s="4">
        <v>3</v>
      </c>
      <c r="B10" s="8">
        <f>E9</f>
      </c>
      <c r="C10" s="8">
        <f>B10*$B$5</f>
      </c>
      <c r="D10" s="8">
        <f>'01_リース契約棚卸表'!F8</f>
      </c>
      <c r="E10" s="8">
        <f>B10+C10-D10</f>
      </c>
      <c r="F10" s="4" t="s">
        <v>92</v>
      </c>
    </row>
    <row r="11" spans="1:6" x14ac:dyDescent="0.25">
      <c r="A11" s="4">
        <v>4</v>
      </c>
      <c r="B11" s="8">
        <f>E10</f>
      </c>
      <c r="C11" s="8">
        <f>B11*$B$5</f>
      </c>
      <c r="D11" s="8">
        <f>'01_リース契約棚卸表'!F8</f>
      </c>
      <c r="E11" s="8">
        <f>B11+C11-D11</f>
      </c>
      <c r="F11" s="4" t="s">
        <v>92</v>
      </c>
    </row>
    <row r="12" spans="1:6" x14ac:dyDescent="0.25">
      <c r="A12" s="4">
        <v>5</v>
      </c>
      <c r="B12" s="8">
        <f>E11</f>
      </c>
      <c r="C12" s="8">
        <f>B12*$B$5</f>
      </c>
      <c r="D12" s="8">
        <f>'01_リース契約棚卸表'!F8</f>
      </c>
      <c r="E12" s="8">
        <f>B12+C12-D12</f>
      </c>
      <c r="F12" s="4" t="s">
        <v>92</v>
      </c>
    </row>
    <row r="13" spans="1:6" x14ac:dyDescent="0.25">
      <c r="A13" s="4">
        <v>6</v>
      </c>
      <c r="B13" s="8">
        <f>E12</f>
      </c>
      <c r="C13" s="8">
        <f>B13*$B$5</f>
      </c>
      <c r="D13" s="8">
        <f>'01_リース契約棚卸表'!F8</f>
      </c>
      <c r="E13" s="8">
        <f>B13+C13-D13</f>
      </c>
      <c r="F13" s="4" t="s">
        <v>92</v>
      </c>
    </row>
    <row r="14" spans="1:6" x14ac:dyDescent="0.25">
      <c r="A14" s="4">
        <v>7</v>
      </c>
      <c r="B14" s="8">
        <f>E13</f>
      </c>
      <c r="C14" s="8">
        <f>B14*$B$5</f>
      </c>
      <c r="D14" s="8">
        <f>'01_リース契約棚卸表'!F8</f>
      </c>
      <c r="E14" s="8">
        <f>B14+C14-D14</f>
      </c>
      <c r="F14" s="4" t="s">
        <v>92</v>
      </c>
    </row>
    <row r="15" spans="1:6" x14ac:dyDescent="0.25">
      <c r="A15" s="4">
        <v>8</v>
      </c>
      <c r="B15" s="8">
        <f>E14</f>
      </c>
      <c r="C15" s="8">
        <f>B15*$B$5</f>
      </c>
      <c r="D15" s="8">
        <f>'01_リース契約棚卸表'!F8</f>
      </c>
      <c r="E15" s="8">
        <f>B15+C15-D15</f>
      </c>
      <c r="F15" s="4" t="s">
        <v>92</v>
      </c>
    </row>
    <row r="16" spans="1:6" x14ac:dyDescent="0.25">
      <c r="A16" s="4">
        <v>9</v>
      </c>
      <c r="B16" s="8">
        <f>E15</f>
      </c>
      <c r="C16" s="8">
        <f>B16*$B$5</f>
      </c>
      <c r="D16" s="8">
        <f>'01_リース契約棚卸表'!F8</f>
      </c>
      <c r="E16" s="8">
        <f>B16+C16-D16</f>
      </c>
      <c r="F16" s="4" t="s">
        <v>92</v>
      </c>
    </row>
    <row r="17" spans="1:6" x14ac:dyDescent="0.25">
      <c r="A17" s="4">
        <v>10</v>
      </c>
      <c r="B17" s="8">
        <f>E16</f>
      </c>
      <c r="C17" s="8">
        <f>B17*$B$5</f>
      </c>
      <c r="D17" s="8">
        <f>'01_リース契約棚卸表'!F8</f>
      </c>
      <c r="E17" s="8">
        <f>B17+C17-D17</f>
      </c>
      <c r="F17" s="4" t="s">
        <v>92</v>
      </c>
    </row>
    <row r="18" spans="1:6" x14ac:dyDescent="0.25">
      <c r="A18" s="4">
        <v>11</v>
      </c>
      <c r="B18" s="8">
        <f>E17</f>
      </c>
      <c r="C18" s="8">
        <f>B18*$B$5</f>
      </c>
      <c r="D18" s="8">
        <f>'01_リース契約棚卸表'!F8</f>
      </c>
      <c r="E18" s="8">
        <f>B18+C18-D18</f>
      </c>
      <c r="F18" s="4" t="s">
        <v>92</v>
      </c>
    </row>
    <row r="19" spans="1:6" x14ac:dyDescent="0.25">
      <c r="A19" s="4">
        <v>12</v>
      </c>
      <c r="B19" s="8">
        <f>E18</f>
      </c>
      <c r="C19" s="8">
        <f>B19*$B$5</f>
      </c>
      <c r="D19" s="8">
        <f>'01_リース契約棚卸表'!F8</f>
      </c>
      <c r="E19" s="8">
        <f>B19+C19-D19</f>
      </c>
      <c r="F19" s="4" t="s">
        <v>92</v>
      </c>
    </row>
    <row r="20" spans="1:6" x14ac:dyDescent="0.25">
      <c r="A20" s="4">
        <v>13</v>
      </c>
      <c r="B20" s="8">
        <f>E19</f>
      </c>
      <c r="C20" s="8">
        <f>B20*$B$5</f>
      </c>
      <c r="D20" s="8">
        <f>'01_リース契約棚卸表'!F8</f>
      </c>
      <c r="E20" s="8">
        <f>B20+C20-D20</f>
      </c>
      <c r="F20" s="4" t="s">
        <v>92</v>
      </c>
    </row>
    <row r="21" spans="1:6" x14ac:dyDescent="0.25">
      <c r="A21" s="4">
        <v>14</v>
      </c>
      <c r="B21" s="8">
        <f>E20</f>
      </c>
      <c r="C21" s="8">
        <f>B21*$B$5</f>
      </c>
      <c r="D21" s="8">
        <f>'01_リース契約棚卸表'!F8</f>
      </c>
      <c r="E21" s="8">
        <f>B21+C21-D21</f>
      </c>
      <c r="F21" s="4" t="s">
        <v>92</v>
      </c>
    </row>
    <row r="22" spans="1:6" x14ac:dyDescent="0.25">
      <c r="A22" s="4">
        <v>15</v>
      </c>
      <c r="B22" s="8">
        <f>E21</f>
      </c>
      <c r="C22" s="8">
        <f>B22*$B$5</f>
      </c>
      <c r="D22" s="8">
        <f>'01_リース契約棚卸表'!F8</f>
      </c>
      <c r="E22" s="8">
        <f>B22+C22-D22</f>
      </c>
      <c r="F22" s="4" t="s">
        <v>92</v>
      </c>
    </row>
    <row r="23" spans="1:6" x14ac:dyDescent="0.25">
      <c r="A23" s="4">
        <v>16</v>
      </c>
      <c r="B23" s="8">
        <f>E22</f>
      </c>
      <c r="C23" s="8">
        <f>B23*$B$5</f>
      </c>
      <c r="D23" s="8">
        <f>'01_リース契約棚卸表'!F8</f>
      </c>
      <c r="E23" s="8">
        <f>B23+C23-D23</f>
      </c>
      <c r="F23" s="4" t="s">
        <v>92</v>
      </c>
    </row>
    <row r="24" spans="1:6" x14ac:dyDescent="0.25">
      <c r="A24" s="4">
        <v>17</v>
      </c>
      <c r="B24" s="8">
        <f>E23</f>
      </c>
      <c r="C24" s="8">
        <f>B24*$B$5</f>
      </c>
      <c r="D24" s="8">
        <f>'01_リース契約棚卸表'!F8</f>
      </c>
      <c r="E24" s="8">
        <f>B24+C24-D24</f>
      </c>
      <c r="F24" s="4" t="s">
        <v>92</v>
      </c>
    </row>
    <row r="25" spans="1:6" x14ac:dyDescent="0.25">
      <c r="A25" s="4">
        <v>18</v>
      </c>
      <c r="B25" s="8">
        <f>E24</f>
      </c>
      <c r="C25" s="8">
        <f>B25*$B$5</f>
      </c>
      <c r="D25" s="8">
        <f>'01_リース契約棚卸表'!F8</f>
      </c>
      <c r="E25" s="8">
        <f>B25+C25-D25</f>
      </c>
      <c r="F25" s="4" t="s">
        <v>92</v>
      </c>
    </row>
    <row r="26" spans="1:6" x14ac:dyDescent="0.25">
      <c r="A26" s="4">
        <v>19</v>
      </c>
      <c r="B26" s="8">
        <f>E25</f>
      </c>
      <c r="C26" s="8">
        <f>B26*$B$5</f>
      </c>
      <c r="D26" s="8">
        <f>'01_リース契約棚卸表'!F8</f>
      </c>
      <c r="E26" s="8">
        <f>B26+C26-D26</f>
      </c>
      <c r="F26" s="4" t="s">
        <v>92</v>
      </c>
    </row>
    <row r="27" spans="1:6" x14ac:dyDescent="0.25">
      <c r="A27" s="4">
        <v>20</v>
      </c>
      <c r="B27" s="8">
        <f>E26</f>
      </c>
      <c r="C27" s="8">
        <f>B27*$B$5</f>
      </c>
      <c r="D27" s="8">
        <f>'01_リース契約棚卸表'!F8</f>
      </c>
      <c r="E27" s="8">
        <f>B27+C27-D27</f>
      </c>
      <c r="F27" s="4" t="s">
        <v>92</v>
      </c>
    </row>
    <row r="28" spans="1:6" x14ac:dyDescent="0.25">
      <c r="A28" s="4">
        <v>21</v>
      </c>
      <c r="B28" s="8">
        <f>E27</f>
      </c>
      <c r="C28" s="8">
        <f>B28*$B$5</f>
      </c>
      <c r="D28" s="8">
        <f>'01_リース契約棚卸表'!F8</f>
      </c>
      <c r="E28" s="8">
        <f>B28+C28-D28</f>
      </c>
      <c r="F28" s="4" t="s">
        <v>92</v>
      </c>
    </row>
    <row r="29" spans="1:6" x14ac:dyDescent="0.25">
      <c r="A29" s="4">
        <v>22</v>
      </c>
      <c r="B29" s="8">
        <f>E28</f>
      </c>
      <c r="C29" s="8">
        <f>B29*$B$5</f>
      </c>
      <c r="D29" s="8">
        <f>'01_リース契約棚卸表'!F8</f>
      </c>
      <c r="E29" s="8">
        <f>B29+C29-D29</f>
      </c>
      <c r="F29" s="4" t="s">
        <v>92</v>
      </c>
    </row>
    <row r="30" spans="1:6" x14ac:dyDescent="0.25">
      <c r="A30" s="4">
        <v>23</v>
      </c>
      <c r="B30" s="8">
        <f>E29</f>
      </c>
      <c r="C30" s="8">
        <f>B30*$B$5</f>
      </c>
      <c r="D30" s="8">
        <f>'01_リース契約棚卸表'!F8</f>
      </c>
      <c r="E30" s="8">
        <f>B30+C30-D30</f>
      </c>
      <c r="F30" s="4" t="s">
        <v>92</v>
      </c>
    </row>
    <row r="31" spans="1:6" x14ac:dyDescent="0.25">
      <c r="A31" s="4">
        <v>24</v>
      </c>
      <c r="B31" s="8">
        <f>E30</f>
      </c>
      <c r="C31" s="8">
        <f>B31*$B$5</f>
      </c>
      <c r="D31" s="8">
        <f>'01_リース契約棚卸表'!F8</f>
      </c>
      <c r="E31" s="8">
        <f>B31+C31-D31</f>
      </c>
      <c r="F31" s="4" t="s">
        <v>92</v>
      </c>
    </row>
    <row r="32" spans="1:6" x14ac:dyDescent="0.25">
      <c r="A32" s="4">
        <v>25</v>
      </c>
      <c r="B32" s="8">
        <f>E31</f>
      </c>
      <c r="C32" s="8">
        <f>B32*$B$5</f>
      </c>
      <c r="D32" s="8">
        <f>'01_リース契約棚卸表'!F8</f>
      </c>
      <c r="E32" s="8">
        <f>B32+C32-D32</f>
      </c>
      <c r="F32" s="4" t="s">
        <v>92</v>
      </c>
    </row>
    <row r="33" spans="1:6" x14ac:dyDescent="0.25">
      <c r="A33" s="4">
        <v>26</v>
      </c>
      <c r="B33" s="8">
        <f>E32</f>
      </c>
      <c r="C33" s="8">
        <f>B33*$B$5</f>
      </c>
      <c r="D33" s="8">
        <f>'01_リース契約棚卸表'!F8</f>
      </c>
      <c r="E33" s="8">
        <f>B33+C33-D33</f>
      </c>
      <c r="F33" s="4" t="s">
        <v>92</v>
      </c>
    </row>
    <row r="34" spans="1:6" x14ac:dyDescent="0.25">
      <c r="A34" s="4">
        <v>27</v>
      </c>
      <c r="B34" s="8">
        <f>E33</f>
      </c>
      <c r="C34" s="8">
        <f>B34*$B$5</f>
      </c>
      <c r="D34" s="8">
        <f>'01_リース契約棚卸表'!F8</f>
      </c>
      <c r="E34" s="8">
        <f>B34+C34-D34</f>
      </c>
      <c r="F34" s="4" t="s">
        <v>92</v>
      </c>
    </row>
    <row r="35" spans="1:6" x14ac:dyDescent="0.25">
      <c r="A35" s="4">
        <v>28</v>
      </c>
      <c r="B35" s="8">
        <f>E34</f>
      </c>
      <c r="C35" s="8">
        <f>B35*$B$5</f>
      </c>
      <c r="D35" s="8">
        <f>'01_リース契約棚卸表'!F8</f>
      </c>
      <c r="E35" s="8">
        <f>B35+C35-D35</f>
      </c>
      <c r="F35" s="4" t="s">
        <v>92</v>
      </c>
    </row>
    <row r="36" spans="1:6" x14ac:dyDescent="0.25">
      <c r="A36" s="4">
        <v>29</v>
      </c>
      <c r="B36" s="8">
        <f>E35</f>
      </c>
      <c r="C36" s="8">
        <f>B36*$B$5</f>
      </c>
      <c r="D36" s="8">
        <f>'01_リース契約棚卸表'!F8</f>
      </c>
      <c r="E36" s="8">
        <f>B36+C36-D36</f>
      </c>
      <c r="F36" s="4" t="s">
        <v>92</v>
      </c>
    </row>
    <row r="37" spans="1:6" x14ac:dyDescent="0.25">
      <c r="A37" s="4">
        <v>30</v>
      </c>
      <c r="B37" s="8">
        <f>E36</f>
      </c>
      <c r="C37" s="8">
        <f>B37*$B$5</f>
      </c>
      <c r="D37" s="8">
        <f>'01_リース契約棚卸表'!F8</f>
      </c>
      <c r="E37" s="8">
        <f>B37+C37-D37</f>
      </c>
      <c r="F37" s="4" t="s">
        <v>92</v>
      </c>
    </row>
    <row r="38" spans="1:6" x14ac:dyDescent="0.25">
      <c r="A38" s="4">
        <v>31</v>
      </c>
      <c r="B38" s="8">
        <f>E37</f>
      </c>
      <c r="C38" s="8">
        <f>B38*$B$5</f>
      </c>
      <c r="D38" s="8">
        <f>'01_リース契約棚卸表'!F8</f>
      </c>
      <c r="E38" s="8">
        <f>B38+C38-D38</f>
      </c>
      <c r="F38" s="4" t="s">
        <v>92</v>
      </c>
    </row>
    <row r="39" spans="1:6" x14ac:dyDescent="0.25">
      <c r="A39" s="4">
        <v>32</v>
      </c>
      <c r="B39" s="8">
        <f>E38</f>
      </c>
      <c r="C39" s="8">
        <f>B39*$B$5</f>
      </c>
      <c r="D39" s="8">
        <f>'01_リース契約棚卸表'!F8</f>
      </c>
      <c r="E39" s="8">
        <f>B39+C39-D39</f>
      </c>
      <c r="F39" s="4" t="s">
        <v>92</v>
      </c>
    </row>
    <row r="40" spans="1:6" x14ac:dyDescent="0.25">
      <c r="A40" s="4">
        <v>33</v>
      </c>
      <c r="B40" s="8">
        <f>E39</f>
      </c>
      <c r="C40" s="8">
        <f>B40*$B$5</f>
      </c>
      <c r="D40" s="8">
        <f>'01_リース契約棚卸表'!F8</f>
      </c>
      <c r="E40" s="8">
        <f>B40+C40-D40</f>
      </c>
      <c r="F40" s="4" t="s">
        <v>92</v>
      </c>
    </row>
    <row r="41" spans="1:6" x14ac:dyDescent="0.25">
      <c r="A41" s="4">
        <v>34</v>
      </c>
      <c r="B41" s="8">
        <f>E40</f>
      </c>
      <c r="C41" s="8">
        <f>B41*$B$5</f>
      </c>
      <c r="D41" s="8">
        <f>'01_リース契約棚卸表'!F8</f>
      </c>
      <c r="E41" s="8">
        <f>B41+C41-D41</f>
      </c>
      <c r="F41" s="4" t="s">
        <v>92</v>
      </c>
    </row>
    <row r="42" spans="1:6" x14ac:dyDescent="0.25">
      <c r="A42" s="4">
        <v>35</v>
      </c>
      <c r="B42" s="8">
        <f>E41</f>
      </c>
      <c r="C42" s="8">
        <f>B42*$B$5</f>
      </c>
      <c r="D42" s="8">
        <f>'01_リース契約棚卸表'!F8</f>
      </c>
      <c r="E42" s="8">
        <f>B42+C42-D42</f>
      </c>
      <c r="F42" s="4" t="s">
        <v>92</v>
      </c>
    </row>
    <row r="43" spans="1:6" x14ac:dyDescent="0.25">
      <c r="A43" s="4">
        <v>36</v>
      </c>
      <c r="B43" s="8">
        <f>E42</f>
      </c>
      <c r="C43" s="8">
        <f>B43*$B$5</f>
      </c>
      <c r="D43" s="8">
        <f>'01_リース契約棚卸表'!F8</f>
      </c>
      <c r="E43" s="8">
        <f>B43+C43-D43</f>
      </c>
      <c r="F43" s="4" t="s">
        <v>92</v>
      </c>
    </row>
    <row r="44" spans="1:6" x14ac:dyDescent="0.25">
      <c r="A44" s="9" t="s">
        <v>93</v>
      </c>
      <c r="B44" s="9" t="s">
        <v>92</v>
      </c>
      <c r="C44" s="10">
        <f>SUM(C8:C43)</f>
      </c>
      <c r="D44" s="10">
        <f>SUM(D8:D43)</f>
      </c>
      <c r="E44" s="9" t="s">
        <v>92</v>
      </c>
      <c r="F44" s="9" t="s">
        <v>92</v>
      </c>
    </row>
    <row r="46" spans="1:3" x14ac:dyDescent="0.25">
      <c r="A46" s="3" t="s">
        <v>155</v>
      </c>
      <c r="B46" s="3" t="s">
        <v>156</v>
      </c>
      <c r="C46" s="3" t="s">
        <v>157</v>
      </c>
    </row>
    <row r="47" spans="1:3" x14ac:dyDescent="0.25">
      <c r="A47" s="4" t="s">
        <v>158</v>
      </c>
      <c r="B47" s="8">
        <f>D44-$D$5-C44</f>
      </c>
      <c r="C47" s="4">
        <f>IF(ABS(B47)&lt;0.5,"OK","⚠️ 合わない")</f>
      </c>
    </row>
    <row r="48" spans="1:3" x14ac:dyDescent="0.25">
      <c r="A48" s="4" t="s">
        <v>159</v>
      </c>
      <c r="B48" s="8">
        <f>E43</f>
      </c>
      <c r="C48" s="4">
        <f>IF(ABS(B48)&lt;0.5,"OK","⚠️ 合わない")</f>
      </c>
    </row>
    <row r="50" spans="1:6" x14ac:dyDescent="0.25">
      <c r="A50" s="11" t="s">
        <v>160</v>
      </c>
      <c r="B50" s="11"/>
      <c r="C50" s="11"/>
      <c r="D50" s="11"/>
      <c r="E50" s="11"/>
      <c r="F50" s="11"/>
    </row>
  </sheetData>
  <mergeCells count="4">
    <mergeCell ref="A1:F1"/>
    <mergeCell ref="A2:F2"/>
    <mergeCell ref="A3:F3"/>
    <mergeCell ref="A50:F50"/>
  </mergeCells>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FormatPr defaultRowHeight="15" outlineLevelRow="0" outlineLevelCol="0" x14ac:dyDescent="55"/>
  <cols>
    <col min="1" max="1" width="36" customWidth="1"/>
    <col min="2" max="2" width="18" customWidth="1"/>
    <col min="3" max="3" width="60" customWidth="1"/>
  </cols>
  <sheetData>
    <row r="1" spans="1:3" x14ac:dyDescent="0.25">
      <c r="A1" s="1" t="s">
        <v>0</v>
      </c>
      <c r="B1" s="1"/>
      <c r="C1" s="1"/>
    </row>
    <row r="2" spans="1:3" x14ac:dyDescent="0.25">
      <c r="A2" s="1" t="s">
        <v>161</v>
      </c>
      <c r="B2" s="1"/>
      <c r="C2" s="1"/>
    </row>
    <row r="3" spans="1:3" x14ac:dyDescent="0.25">
      <c r="A3" s="2" t="s">
        <v>2</v>
      </c>
      <c r="B3" s="2"/>
      <c r="C3" s="2"/>
    </row>
    <row r="5" spans="1:3" x14ac:dyDescent="0.25">
      <c r="A5" s="3" t="s">
        <v>3</v>
      </c>
      <c r="B5" s="3" t="s">
        <v>162</v>
      </c>
      <c r="C5" s="3" t="s">
        <v>163</v>
      </c>
    </row>
    <row r="6" spans="1:3" x14ac:dyDescent="0.25">
      <c r="A6" s="4" t="s">
        <v>164</v>
      </c>
      <c r="B6" s="8">
        <f>'04_移行日の算定'!H14</f>
      </c>
      <c r="C6" s="4" t="s">
        <v>165</v>
      </c>
    </row>
    <row r="7" spans="1:3" x14ac:dyDescent="0.25">
      <c r="A7" s="4" t="s">
        <v>166</v>
      </c>
      <c r="B7" s="8">
        <f>'04_移行日の算定'!E14</f>
      </c>
      <c r="C7" s="4" t="s">
        <v>126</v>
      </c>
    </row>
    <row r="8" spans="1:3" x14ac:dyDescent="0.25">
      <c r="A8" s="4" t="s">
        <v>167</v>
      </c>
      <c r="B8" s="8">
        <f>'04_移行日の算定'!G14</f>
      </c>
      <c r="C8" s="4" t="s">
        <v>168</v>
      </c>
    </row>
    <row r="9" spans="1:3" x14ac:dyDescent="0.25">
      <c r="A9" s="4" t="s">
        <v>169</v>
      </c>
      <c r="B9" s="8">
        <f>'04_移行日の算定'!I14</f>
      </c>
      <c r="C9" s="4" t="s">
        <v>170</v>
      </c>
    </row>
    <row r="10" spans="1:3" x14ac:dyDescent="0.25">
      <c r="A10" s="9" t="s">
        <v>171</v>
      </c>
      <c r="B10" s="10">
        <f>B6-B7-B8-B9</f>
      </c>
      <c r="C10" s="9" t="s">
        <v>172</v>
      </c>
    </row>
    <row r="11" spans="1:3" x14ac:dyDescent="0.25">
      <c r="A11" s="4" t="s">
        <v>173</v>
      </c>
      <c r="B11" s="17">
        <v>0.3062</v>
      </c>
      <c r="C11" s="4" t="s">
        <v>174</v>
      </c>
    </row>
    <row r="12" spans="1:3" x14ac:dyDescent="0.25">
      <c r="A12" s="4" t="s">
        <v>175</v>
      </c>
      <c r="B12" s="8">
        <f>-B10*B11</f>
      </c>
      <c r="C12" s="4" t="s">
        <v>176</v>
      </c>
    </row>
    <row r="13" spans="1:3" x14ac:dyDescent="0.25">
      <c r="A13" s="9" t="s">
        <v>177</v>
      </c>
      <c r="B13" s="10">
        <f>B10+B12</f>
      </c>
      <c r="C13" s="9" t="s">
        <v>92</v>
      </c>
    </row>
    <row r="15" spans="1:3" x14ac:dyDescent="0.25">
      <c r="A15" s="3" t="s">
        <v>178</v>
      </c>
      <c r="B15" s="3" t="s">
        <v>179</v>
      </c>
      <c r="C15" s="3" t="s">
        <v>162</v>
      </c>
    </row>
    <row r="16" spans="1:3" x14ac:dyDescent="0.25">
      <c r="A16" s="4" t="s">
        <v>140</v>
      </c>
      <c r="B16" s="4" t="s">
        <v>180</v>
      </c>
      <c r="C16" s="8">
        <f>B6</f>
      </c>
    </row>
    <row r="17" spans="1:3" x14ac:dyDescent="0.25">
      <c r="A17" s="4" t="s">
        <v>137</v>
      </c>
      <c r="B17" s="4" t="s">
        <v>181</v>
      </c>
      <c r="C17" s="8">
        <f>B7</f>
      </c>
    </row>
    <row r="18" spans="1:3" x14ac:dyDescent="0.25">
      <c r="A18" s="4" t="s">
        <v>182</v>
      </c>
      <c r="B18" s="4" t="s">
        <v>181</v>
      </c>
      <c r="C18" s="8">
        <f>'04_移行日の算定'!I14+0</f>
      </c>
    </row>
    <row r="19" spans="1:3" x14ac:dyDescent="0.25">
      <c r="A19" s="4" t="s">
        <v>183</v>
      </c>
      <c r="B19" s="4" t="s">
        <v>156</v>
      </c>
      <c r="C19" s="8">
        <f>B12</f>
      </c>
    </row>
    <row r="20" spans="1:3" x14ac:dyDescent="0.25">
      <c r="A20" s="18" t="s">
        <v>184</v>
      </c>
      <c r="B20" s="18" t="s">
        <v>156</v>
      </c>
      <c r="C20" s="19">
        <f>B13</f>
      </c>
    </row>
    <row r="22" spans="1:3" x14ac:dyDescent="0.25">
      <c r="A22" s="11" t="s">
        <v>185</v>
      </c>
      <c r="B22" s="11"/>
      <c r="C22" s="11"/>
    </row>
  </sheetData>
  <mergeCells count="4">
    <mergeCell ref="A1:C1"/>
    <mergeCell ref="A2:C2"/>
    <mergeCell ref="A3:C3"/>
    <mergeCell ref="A22:C22"/>
  </mergeCells>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FormatPr defaultRowHeight="15" outlineLevelRow="0" outlineLevelCol="0" x14ac:dyDescent="55"/>
  <cols>
    <col min="1" max="1" width="46" customWidth="1"/>
    <col min="2" max="2" width="18" customWidth="1"/>
    <col min="3" max="3" width="56" customWidth="1"/>
  </cols>
  <sheetData>
    <row r="1" spans="1:3" x14ac:dyDescent="0.25">
      <c r="A1" s="1" t="s">
        <v>0</v>
      </c>
      <c r="B1" s="1"/>
      <c r="C1" s="1"/>
    </row>
    <row r="2" spans="1:3" x14ac:dyDescent="0.25">
      <c r="A2" s="1" t="s">
        <v>186</v>
      </c>
      <c r="B2" s="1"/>
      <c r="C2" s="1"/>
    </row>
    <row r="3" spans="1:3" x14ac:dyDescent="0.25">
      <c r="A3" s="2" t="s">
        <v>2</v>
      </c>
      <c r="B3" s="2"/>
      <c r="C3" s="2"/>
    </row>
    <row r="5" spans="1:3" x14ac:dyDescent="0.25">
      <c r="A5" s="3" t="s">
        <v>3</v>
      </c>
      <c r="B5" s="3" t="s">
        <v>162</v>
      </c>
      <c r="C5" s="3" t="s">
        <v>163</v>
      </c>
    </row>
    <row r="6" spans="1:3" x14ac:dyDescent="0.25">
      <c r="A6" s="4" t="s">
        <v>187</v>
      </c>
      <c r="B6" s="8">
        <f>SUMIF('01_リース契約棚卸表'!D6:D13,"オペレーティング",'01_リース契約棚卸表'!J6:J13)</f>
      </c>
      <c r="C6" s="4" t="s">
        <v>188</v>
      </c>
    </row>
    <row r="7" spans="1:3" x14ac:dyDescent="0.25">
      <c r="A7" s="4" t="s">
        <v>189</v>
      </c>
      <c r="B7" s="8">
        <f>-SUMIF('02_識別・免除の判定'!J8:J15,"免除（費用処理）",'01_リース契約棚卸表'!J6:J13)</f>
      </c>
      <c r="C7" s="4" t="s">
        <v>190</v>
      </c>
    </row>
    <row r="8" spans="1:3" x14ac:dyDescent="0.25">
      <c r="A8" s="4" t="s">
        <v>191</v>
      </c>
      <c r="B8" s="6">
        <v>0</v>
      </c>
      <c r="C8" s="4" t="s">
        <v>192</v>
      </c>
    </row>
    <row r="9" spans="1:3" x14ac:dyDescent="0.25">
      <c r="A9" s="4" t="s">
        <v>193</v>
      </c>
      <c r="B9" s="8">
        <f>-SUMIF('04_移行日の算定'!C6:C13,"算定",'04_移行日の算定'!F6:F13)</f>
      </c>
      <c r="C9" s="4" t="s">
        <v>194</v>
      </c>
    </row>
    <row r="10" spans="1:3" x14ac:dyDescent="0.25">
      <c r="A10" s="4" t="s">
        <v>195</v>
      </c>
      <c r="B10" s="8">
        <f>SUMIF('04_移行日の算定'!C6:C13,"引継ぎ",'04_移行日の算定'!E6:E13)</f>
      </c>
      <c r="C10" s="4" t="s">
        <v>196</v>
      </c>
    </row>
    <row r="11" spans="1:3" x14ac:dyDescent="0.25">
      <c r="A11" s="9" t="s">
        <v>197</v>
      </c>
      <c r="B11" s="10">
        <f>B6+B7+B8+B9+B10</f>
      </c>
      <c r="C11" s="9" t="s">
        <v>92</v>
      </c>
    </row>
    <row r="12" spans="1:3" x14ac:dyDescent="0.25">
      <c r="A12" s="4" t="s">
        <v>198</v>
      </c>
      <c r="B12" s="8">
        <f>'04_移行日の算定'!E14</f>
      </c>
      <c r="C12" s="4" t="s">
        <v>92</v>
      </c>
    </row>
    <row r="13" spans="1:3" x14ac:dyDescent="0.25">
      <c r="A13" s="4" t="s">
        <v>199</v>
      </c>
      <c r="B13" s="8">
        <f>B11-B12</f>
      </c>
      <c r="C13" s="4">
        <f>IF(ABS(B13)&lt;0.5,"OK","⚠️ 橋が閉じていない")</f>
      </c>
    </row>
    <row r="15" spans="1:3" x14ac:dyDescent="0.25">
      <c r="A15" s="11" t="s">
        <v>200</v>
      </c>
      <c r="B15" s="11"/>
      <c r="C15" s="11"/>
    </row>
  </sheetData>
  <mergeCells count="4">
    <mergeCell ref="A1:C1"/>
    <mergeCell ref="A2:C2"/>
    <mergeCell ref="A3:C3"/>
    <mergeCell ref="A15:C15"/>
  </mergeCells>
  <pageMargins left="0.7" right="0.7" top="0.75" bottom="0.75" header="0.3" footer="0.3"/>
  <pageSetup orientation="portrait" horizontalDpi="4294967295" verticalDpi="4294967295" scale="100" fitToWidth="1" fitToHeigh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FormatPr defaultRowHeight="15" outlineLevelRow="0" outlineLevelCol="0" x14ac:dyDescent="55"/>
  <cols>
    <col min="1" max="1" width="26" customWidth="1"/>
    <col min="2" max="5" width="16" customWidth="1"/>
    <col min="6" max="6" width="40" customWidth="1"/>
  </cols>
  <sheetData>
    <row r="1" spans="1:6" x14ac:dyDescent="0.25">
      <c r="A1" s="1" t="s">
        <v>0</v>
      </c>
      <c r="B1" s="1"/>
      <c r="C1" s="1"/>
      <c r="D1" s="1"/>
      <c r="E1" s="1"/>
      <c r="F1" s="1"/>
    </row>
    <row r="2" spans="1:6" x14ac:dyDescent="0.25">
      <c r="A2" s="1" t="s">
        <v>201</v>
      </c>
      <c r="B2" s="1"/>
      <c r="C2" s="1"/>
      <c r="D2" s="1"/>
      <c r="E2" s="1"/>
      <c r="F2" s="1"/>
    </row>
    <row r="3" spans="1:6" x14ac:dyDescent="0.25">
      <c r="A3" s="2" t="s">
        <v>2</v>
      </c>
      <c r="B3" s="2"/>
      <c r="C3" s="2"/>
      <c r="D3" s="2"/>
      <c r="E3" s="2"/>
      <c r="F3" s="2"/>
    </row>
    <row r="5" spans="1:6" x14ac:dyDescent="0.25">
      <c r="A5" s="3" t="s">
        <v>3</v>
      </c>
      <c r="B5" s="3" t="s">
        <v>202</v>
      </c>
      <c r="C5" s="3" t="s">
        <v>203</v>
      </c>
      <c r="D5" s="3" t="s">
        <v>204</v>
      </c>
      <c r="E5" s="3" t="s">
        <v>205</v>
      </c>
      <c r="F5" s="3" t="s">
        <v>60</v>
      </c>
    </row>
    <row r="6" spans="1:6" x14ac:dyDescent="0.25">
      <c r="A6" s="4" t="s">
        <v>206</v>
      </c>
      <c r="B6" s="8">
        <f>'04_移行日の算定'!H14</f>
      </c>
      <c r="C6" s="6">
        <v>0</v>
      </c>
      <c r="D6" s="6">
        <v>0</v>
      </c>
      <c r="E6" s="8">
        <f>B6+C6-D6</f>
      </c>
      <c r="F6" s="4" t="s">
        <v>92</v>
      </c>
    </row>
    <row r="7" spans="1:6" x14ac:dyDescent="0.25">
      <c r="A7" s="4" t="s">
        <v>207</v>
      </c>
      <c r="B7" s="8">
        <v>0</v>
      </c>
      <c r="C7" s="6">
        <v>0</v>
      </c>
      <c r="D7" s="6">
        <v>0</v>
      </c>
      <c r="E7" s="8">
        <f>B7+C7-D7</f>
      </c>
      <c r="F7" s="4" t="s">
        <v>92</v>
      </c>
    </row>
    <row r="8" spans="1:6" x14ac:dyDescent="0.25">
      <c r="A8" s="4" t="s">
        <v>137</v>
      </c>
      <c r="B8" s="8">
        <f>'04_移行日の算定'!E14</f>
      </c>
      <c r="C8" s="6">
        <v>0</v>
      </c>
      <c r="D8" s="6">
        <v>0</v>
      </c>
      <c r="E8" s="8">
        <f>B8+C8-D8</f>
      </c>
      <c r="F8" s="4" t="s">
        <v>92</v>
      </c>
    </row>
    <row r="9" spans="1:6" x14ac:dyDescent="0.25">
      <c r="A9" s="18" t="s">
        <v>208</v>
      </c>
      <c r="B9" s="19">
        <f>B6-B7</f>
      </c>
      <c r="C9" s="18" t="s">
        <v>92</v>
      </c>
      <c r="D9" s="18" t="s">
        <v>92</v>
      </c>
      <c r="E9" s="19">
        <f>E6-E7</f>
      </c>
      <c r="F9" s="18" t="s">
        <v>209</v>
      </c>
    </row>
    <row r="11" spans="1:3" x14ac:dyDescent="0.25">
      <c r="A11" s="3" t="s">
        <v>210</v>
      </c>
      <c r="B11" s="3" t="s">
        <v>140</v>
      </c>
      <c r="C11" s="3" t="s">
        <v>137</v>
      </c>
    </row>
    <row r="12" spans="1:3" x14ac:dyDescent="0.25">
      <c r="A12" s="4" t="s">
        <v>63</v>
      </c>
      <c r="B12" s="8">
        <f>SUMIF('01_リース契約棚卸表'!C6:C13,A12,'04_移行日の算定'!H6:H13)</f>
      </c>
      <c r="C12" s="8">
        <f>SUMIF('01_リース契約棚卸表'!C6:C13,A12,'04_移行日の算定'!E6:E13)</f>
      </c>
    </row>
    <row r="13" spans="1:3" x14ac:dyDescent="0.25">
      <c r="A13" s="4" t="s">
        <v>71</v>
      </c>
      <c r="B13" s="8">
        <f>SUMIF('01_リース契約棚卸表'!C6:C13,A13,'04_移行日の算定'!H6:H13)</f>
      </c>
      <c r="C13" s="8">
        <f>SUMIF('01_リース契約棚卸表'!C6:C13,A13,'04_移行日の算定'!E6:E13)</f>
      </c>
    </row>
    <row r="14" spans="1:3" x14ac:dyDescent="0.25">
      <c r="A14" s="4" t="s">
        <v>80</v>
      </c>
      <c r="B14" s="8">
        <f>SUMIF('01_リース契約棚卸表'!C6:C13,A14,'04_移行日の算定'!H6:H13)</f>
      </c>
      <c r="C14" s="8">
        <f>SUMIF('01_リース契約棚卸表'!C6:C13,A14,'04_移行日の算定'!E6:E13)</f>
      </c>
    </row>
    <row r="15" spans="1:3" x14ac:dyDescent="0.25">
      <c r="A15" s="4" t="s">
        <v>84</v>
      </c>
      <c r="B15" s="8">
        <f>SUMIF('01_リース契約棚卸表'!C6:C13,A15,'04_移行日の算定'!H6:H13)</f>
      </c>
      <c r="C15" s="8">
        <f>SUMIF('01_リース契約棚卸表'!C6:C13,A15,'04_移行日の算定'!E6:E13)</f>
      </c>
    </row>
    <row r="17" spans="1:6" x14ac:dyDescent="0.25">
      <c r="A17" s="11" t="s">
        <v>211</v>
      </c>
      <c r="B17" s="11"/>
      <c r="C17" s="11"/>
      <c r="D17" s="11"/>
      <c r="E17" s="11"/>
      <c r="F17" s="11"/>
    </row>
  </sheetData>
  <mergeCells count="4">
    <mergeCell ref="A1:F1"/>
    <mergeCell ref="A2:F2"/>
    <mergeCell ref="A3:F3"/>
    <mergeCell ref="A17:F17"/>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00_この表について</vt:lpstr>
      <vt:lpstr>01_リース契約棚卸表</vt:lpstr>
      <vt:lpstr>02_識別・免除の判定</vt:lpstr>
      <vt:lpstr>03_リース期間と割引率</vt:lpstr>
      <vt:lpstr>04_移行日の算定</vt:lpstr>
      <vt:lpstr>05_償却スケジュール</vt:lpstr>
      <vt:lpstr>06_累積的影響額と仕訳</vt:lpstr>
      <vt:lpstr>07_差額説明表</vt:lpstr>
      <vt:lpstr>08_リース台帳</vt:lpstr>
      <vt:lpstr>09_税効果</vt:lpstr>
      <vt:lpstr>10_重要な判断の記録</vt:lpstr>
      <vt:lpstr>11_検算</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BENTO</dc:creator>
  <dc:title/>
  <dc:subject/>
  <dc:description/>
  <cp:keywords/>
  <cp:category/>
  <cp:lastModifiedBy>BENTO</cp:lastModifiedBy>
  <dcterms:created xsi:type="dcterms:W3CDTF">2026-09-11T07:48:47Z</dcterms:created>
  <dcterms:modified xsi:type="dcterms:W3CDTF">2026-09-11T07:48:47Z</dcterms:modified>
</cp:coreProperties>
</file>